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CA CMTN College September 5th 2023\Classes\4th Term\Entrepreneurship\"/>
    </mc:Choice>
  </mc:AlternateContent>
  <xr:revisionPtr revIDLastSave="0" documentId="13_ncr:1_{A34AF49F-A7A9-4309-9F10-D648E55A29A2}" xr6:coauthVersionLast="47" xr6:coauthVersionMax="47" xr10:uidLastSave="{00000000-0000-0000-0000-000000000000}"/>
  <bookViews>
    <workbookView xWindow="-120" yWindow="-120" windowWidth="20730" windowHeight="11160" xr2:uid="{B44B3249-ADCF-CB44-8C1E-181EBA6D7EDD}"/>
  </bookViews>
  <sheets>
    <sheet name="Start Up Costs " sheetId="10" r:id="rId1"/>
    <sheet name="Income Statement Year 1 " sheetId="1" r:id="rId2"/>
    <sheet name="Income Statement Year 2" sheetId="12" r:id="rId3"/>
    <sheet name="Income Statement Year 3" sheetId="13" r:id="rId4"/>
    <sheet name="Cash Flow Year 1 " sheetId="4" r:id="rId5"/>
    <sheet name="Cash Flow Year 2" sheetId="14" r:id="rId6"/>
    <sheet name="Cash Flow Year 3" sheetId="15" r:id="rId7"/>
    <sheet name="Balance Sheet Year 1 " sheetId="7" r:id="rId8"/>
    <sheet name="Balance Sheet Year 2" sheetId="16" r:id="rId9"/>
    <sheet name="Balance Sheet Year 3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E12" i="7" s="1"/>
  <c r="B26" i="13"/>
  <c r="M21" i="1"/>
  <c r="L21" i="1"/>
  <c r="K21" i="1"/>
  <c r="J21" i="1"/>
  <c r="I21" i="1"/>
  <c r="H21" i="1"/>
  <c r="G21" i="1"/>
  <c r="F21" i="1"/>
  <c r="E21" i="1"/>
  <c r="D21" i="1"/>
  <c r="C21" i="1"/>
  <c r="B21" i="1"/>
  <c r="E15" i="17"/>
  <c r="E15" i="16"/>
  <c r="B34" i="10"/>
  <c r="B9" i="17"/>
  <c r="F19" i="10"/>
  <c r="F18" i="10"/>
  <c r="F17" i="10"/>
  <c r="B9" i="7"/>
  <c r="B10" i="17"/>
  <c r="E16" i="17"/>
  <c r="E7" i="17"/>
  <c r="E12" i="17" s="1"/>
  <c r="E16" i="16"/>
  <c r="B9" i="16"/>
  <c r="D19" i="10"/>
  <c r="D18" i="10"/>
  <c r="D17" i="10"/>
  <c r="B10" i="16"/>
  <c r="E7" i="16"/>
  <c r="E12" i="16" s="1"/>
  <c r="C20" i="1"/>
  <c r="D20" i="1"/>
  <c r="E20" i="1"/>
  <c r="F20" i="1"/>
  <c r="G20" i="1"/>
  <c r="H20" i="1"/>
  <c r="I20" i="1"/>
  <c r="J20" i="1"/>
  <c r="K20" i="1"/>
  <c r="L20" i="1"/>
  <c r="M20" i="1"/>
  <c r="B20" i="1"/>
  <c r="N19" i="1"/>
  <c r="B10" i="7"/>
  <c r="M19" i="15"/>
  <c r="L19" i="15"/>
  <c r="K19" i="15"/>
  <c r="J19" i="15"/>
  <c r="I19" i="15"/>
  <c r="H19" i="15"/>
  <c r="G19" i="15"/>
  <c r="F19" i="15"/>
  <c r="E19" i="15"/>
  <c r="D19" i="15"/>
  <c r="C19" i="15"/>
  <c r="B19" i="15"/>
  <c r="M6" i="15"/>
  <c r="L6" i="15"/>
  <c r="K6" i="15"/>
  <c r="J6" i="15"/>
  <c r="J9" i="15" s="1"/>
  <c r="I6" i="15"/>
  <c r="H6" i="15"/>
  <c r="G6" i="15"/>
  <c r="F6" i="15"/>
  <c r="F9" i="15" s="1"/>
  <c r="E6" i="15"/>
  <c r="D6" i="15"/>
  <c r="C6" i="15"/>
  <c r="B6" i="15"/>
  <c r="M9" i="15"/>
  <c r="L9" i="15"/>
  <c r="K9" i="15"/>
  <c r="I9" i="15"/>
  <c r="H9" i="15"/>
  <c r="G9" i="15"/>
  <c r="E9" i="15"/>
  <c r="D9" i="15"/>
  <c r="C9" i="15"/>
  <c r="B9" i="15"/>
  <c r="M18" i="12"/>
  <c r="L18" i="12"/>
  <c r="K18" i="12"/>
  <c r="J18" i="12"/>
  <c r="I18" i="12"/>
  <c r="H18" i="12"/>
  <c r="G18" i="12"/>
  <c r="F18" i="12"/>
  <c r="E18" i="12"/>
  <c r="D18" i="12"/>
  <c r="C18" i="12"/>
  <c r="N18" i="12" s="1"/>
  <c r="B18" i="12"/>
  <c r="M6" i="13"/>
  <c r="M7" i="13" s="1"/>
  <c r="L6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L13" i="13"/>
  <c r="L5" i="13"/>
  <c r="L4" i="13"/>
  <c r="K13" i="13"/>
  <c r="K5" i="13"/>
  <c r="N5" i="13" s="1"/>
  <c r="K4" i="13"/>
  <c r="J13" i="13"/>
  <c r="J5" i="13"/>
  <c r="J4" i="13"/>
  <c r="D13" i="13"/>
  <c r="D5" i="13"/>
  <c r="D4" i="13"/>
  <c r="C13" i="13"/>
  <c r="C5" i="13"/>
  <c r="C4" i="13"/>
  <c r="B13" i="13"/>
  <c r="B5" i="13"/>
  <c r="B4" i="13"/>
  <c r="N19" i="13"/>
  <c r="N18" i="13"/>
  <c r="N17" i="13"/>
  <c r="M16" i="13"/>
  <c r="L16" i="13"/>
  <c r="K16" i="13"/>
  <c r="K6" i="13" s="1"/>
  <c r="J16" i="13"/>
  <c r="I16" i="13"/>
  <c r="H16" i="13"/>
  <c r="H6" i="13" s="1"/>
  <c r="G16" i="13"/>
  <c r="G6" i="13" s="1"/>
  <c r="F16" i="13"/>
  <c r="E16" i="13"/>
  <c r="D16" i="13"/>
  <c r="D6" i="13" s="1"/>
  <c r="C16" i="13"/>
  <c r="C6" i="13" s="1"/>
  <c r="B16" i="13"/>
  <c r="N16" i="13" s="1"/>
  <c r="M13" i="13"/>
  <c r="I13" i="13"/>
  <c r="H13" i="13"/>
  <c r="G13" i="13"/>
  <c r="F13" i="13"/>
  <c r="E13" i="13"/>
  <c r="I7" i="13"/>
  <c r="E7" i="13"/>
  <c r="J6" i="13"/>
  <c r="I6" i="13"/>
  <c r="F6" i="13"/>
  <c r="F7" i="13" s="1"/>
  <c r="E6" i="13"/>
  <c r="B6" i="13"/>
  <c r="B7" i="13" s="1"/>
  <c r="M5" i="13"/>
  <c r="I5" i="13"/>
  <c r="H5" i="13"/>
  <c r="G5" i="13"/>
  <c r="F5" i="13"/>
  <c r="E5" i="13"/>
  <c r="M4" i="13"/>
  <c r="I4" i="13"/>
  <c r="H4" i="13"/>
  <c r="G4" i="13"/>
  <c r="G7" i="13" s="1"/>
  <c r="F4" i="13"/>
  <c r="E4" i="13"/>
  <c r="C7" i="13"/>
  <c r="N4" i="13"/>
  <c r="M13" i="1"/>
  <c r="M19" i="4" s="1"/>
  <c r="K13" i="1"/>
  <c r="K19" i="4" s="1"/>
  <c r="J13" i="1"/>
  <c r="J19" i="4" s="1"/>
  <c r="I13" i="1"/>
  <c r="I19" i="4" s="1"/>
  <c r="H13" i="1"/>
  <c r="H19" i="4" s="1"/>
  <c r="G13" i="1"/>
  <c r="G19" i="4" s="1"/>
  <c r="F13" i="1"/>
  <c r="F19" i="4" s="1"/>
  <c r="E13" i="1"/>
  <c r="E19" i="4" s="1"/>
  <c r="D13" i="1"/>
  <c r="J5" i="12"/>
  <c r="I5" i="12"/>
  <c r="E13" i="12"/>
  <c r="E19" i="14" s="1"/>
  <c r="E5" i="12"/>
  <c r="G13" i="12"/>
  <c r="G19" i="14" s="1"/>
  <c r="J13" i="12"/>
  <c r="I13" i="12"/>
  <c r="I19" i="14" s="1"/>
  <c r="H13" i="12"/>
  <c r="H19" i="14" s="1"/>
  <c r="H5" i="12"/>
  <c r="G5" i="12"/>
  <c r="F13" i="12"/>
  <c r="F19" i="14" s="1"/>
  <c r="F5" i="12"/>
  <c r="D13" i="12"/>
  <c r="D19" i="14" s="1"/>
  <c r="D5" i="12"/>
  <c r="C13" i="12"/>
  <c r="C19" i="14" s="1"/>
  <c r="C5" i="12"/>
  <c r="C4" i="12"/>
  <c r="M5" i="12"/>
  <c r="L5" i="12"/>
  <c r="B5" i="12"/>
  <c r="J4" i="12"/>
  <c r="I4" i="12"/>
  <c r="H4" i="12"/>
  <c r="G4" i="12"/>
  <c r="F4" i="12"/>
  <c r="E4" i="12"/>
  <c r="D4" i="12"/>
  <c r="K13" i="12"/>
  <c r="K19" i="14" s="1"/>
  <c r="K5" i="12"/>
  <c r="K4" i="12"/>
  <c r="L13" i="12"/>
  <c r="L19" i="14" s="1"/>
  <c r="L4" i="12"/>
  <c r="M13" i="12"/>
  <c r="M19" i="14" s="1"/>
  <c r="M4" i="12"/>
  <c r="N19" i="12"/>
  <c r="N17" i="12"/>
  <c r="M16" i="12"/>
  <c r="M6" i="12" s="1"/>
  <c r="L16" i="12"/>
  <c r="L6" i="12" s="1"/>
  <c r="K16" i="12"/>
  <c r="K6" i="12" s="1"/>
  <c r="J16" i="12"/>
  <c r="J6" i="12" s="1"/>
  <c r="I16" i="12"/>
  <c r="I6" i="12" s="1"/>
  <c r="I7" i="12" s="1"/>
  <c r="I6" i="14" s="1"/>
  <c r="I9" i="14" s="1"/>
  <c r="H16" i="12"/>
  <c r="H6" i="12" s="1"/>
  <c r="G16" i="12"/>
  <c r="F16" i="12"/>
  <c r="E16" i="12"/>
  <c r="E6" i="12" s="1"/>
  <c r="D16" i="12"/>
  <c r="D6" i="12" s="1"/>
  <c r="C16" i="12"/>
  <c r="C6" i="12" s="1"/>
  <c r="C7" i="12" s="1"/>
  <c r="C6" i="14" s="1"/>
  <c r="C9" i="14" s="1"/>
  <c r="B16" i="12"/>
  <c r="B6" i="12" s="1"/>
  <c r="B13" i="12"/>
  <c r="F6" i="12"/>
  <c r="B4" i="12"/>
  <c r="B7" i="12" s="1"/>
  <c r="B6" i="14" s="1"/>
  <c r="B9" i="14" s="1"/>
  <c r="L13" i="1"/>
  <c r="L19" i="4" s="1"/>
  <c r="C13" i="1"/>
  <c r="C19" i="4" s="1"/>
  <c r="B13" i="1"/>
  <c r="B19" i="4" s="1"/>
  <c r="M16" i="1"/>
  <c r="M6" i="1" s="1"/>
  <c r="L16" i="1"/>
  <c r="L6" i="1" s="1"/>
  <c r="K16" i="1"/>
  <c r="K6" i="1" s="1"/>
  <c r="K7" i="1" s="1"/>
  <c r="K6" i="4" s="1"/>
  <c r="J16" i="1"/>
  <c r="I16" i="1"/>
  <c r="I6" i="1" s="1"/>
  <c r="I7" i="1" s="1"/>
  <c r="I6" i="4" s="1"/>
  <c r="H16" i="1"/>
  <c r="H6" i="1" s="1"/>
  <c r="H7" i="1" s="1"/>
  <c r="H6" i="4" s="1"/>
  <c r="G16" i="1"/>
  <c r="G6" i="1" s="1"/>
  <c r="G7" i="1" s="1"/>
  <c r="G6" i="4" s="1"/>
  <c r="F16" i="1"/>
  <c r="E16" i="1"/>
  <c r="E6" i="1" s="1"/>
  <c r="E7" i="1" s="1"/>
  <c r="E6" i="4" s="1"/>
  <c r="D16" i="1"/>
  <c r="D6" i="1" s="1"/>
  <c r="D7" i="1" s="1"/>
  <c r="D6" i="4" s="1"/>
  <c r="C16" i="1"/>
  <c r="C6" i="1" s="1"/>
  <c r="B16" i="1"/>
  <c r="B6" i="1" s="1"/>
  <c r="J6" i="1"/>
  <c r="J7" i="1" s="1"/>
  <c r="J6" i="4" s="1"/>
  <c r="C5" i="1"/>
  <c r="B5" i="1"/>
  <c r="L5" i="1"/>
  <c r="M5" i="1"/>
  <c r="L18" i="1"/>
  <c r="C18" i="1"/>
  <c r="B18" i="1"/>
  <c r="M4" i="1"/>
  <c r="L4" i="1"/>
  <c r="C4" i="1"/>
  <c r="B4" i="1"/>
  <c r="B19" i="10"/>
  <c r="C8" i="13" s="1"/>
  <c r="C14" i="15" s="1"/>
  <c r="C16" i="15" s="1"/>
  <c r="N17" i="1"/>
  <c r="M18" i="1"/>
  <c r="K18" i="1"/>
  <c r="J18" i="1"/>
  <c r="I18" i="1"/>
  <c r="H18" i="1"/>
  <c r="G18" i="1"/>
  <c r="F18" i="1"/>
  <c r="E18" i="1"/>
  <c r="D18" i="1"/>
  <c r="B24" i="10"/>
  <c r="L8" i="12" l="1"/>
  <c r="L14" i="14" s="1"/>
  <c r="L16" i="14" s="1"/>
  <c r="D8" i="1"/>
  <c r="D14" i="4" s="1"/>
  <c r="E8" i="13"/>
  <c r="E14" i="15" s="1"/>
  <c r="E16" i="15" s="1"/>
  <c r="H8" i="1"/>
  <c r="H14" i="4" s="1"/>
  <c r="N21" i="1"/>
  <c r="C7" i="1"/>
  <c r="I8" i="1"/>
  <c r="I14" i="4" s="1"/>
  <c r="K8" i="12"/>
  <c r="K14" i="14" s="1"/>
  <c r="K16" i="14" s="1"/>
  <c r="F8" i="13"/>
  <c r="F14" i="15" s="1"/>
  <c r="F16" i="15" s="1"/>
  <c r="B8" i="12"/>
  <c r="B14" i="14" s="1"/>
  <c r="B16" i="14" s="1"/>
  <c r="M8" i="12"/>
  <c r="M14" i="14" s="1"/>
  <c r="M16" i="14" s="1"/>
  <c r="H8" i="12"/>
  <c r="H14" i="14" s="1"/>
  <c r="H16" i="14" s="1"/>
  <c r="I8" i="13"/>
  <c r="I14" i="15" s="1"/>
  <c r="I16" i="15" s="1"/>
  <c r="L8" i="1"/>
  <c r="L14" i="4" s="1"/>
  <c r="E8" i="1"/>
  <c r="E14" i="4" s="1"/>
  <c r="C8" i="12"/>
  <c r="C14" i="14" s="1"/>
  <c r="C16" i="14" s="1"/>
  <c r="G8" i="12"/>
  <c r="G14" i="14" s="1"/>
  <c r="G16" i="14" s="1"/>
  <c r="L8" i="13"/>
  <c r="L14" i="15" s="1"/>
  <c r="L16" i="15" s="1"/>
  <c r="B8" i="1"/>
  <c r="B14" i="4" s="1"/>
  <c r="F8" i="1"/>
  <c r="F14" i="4" s="1"/>
  <c r="J8" i="1"/>
  <c r="J14" i="4" s="1"/>
  <c r="D8" i="12"/>
  <c r="D14" i="14" s="1"/>
  <c r="D16" i="14" s="1"/>
  <c r="J8" i="12"/>
  <c r="J14" i="14" s="1"/>
  <c r="J16" i="14" s="1"/>
  <c r="F8" i="12"/>
  <c r="F14" i="14" s="1"/>
  <c r="F16" i="14" s="1"/>
  <c r="M8" i="1"/>
  <c r="M14" i="4" s="1"/>
  <c r="M16" i="4" s="1"/>
  <c r="G8" i="13"/>
  <c r="G14" i="15" s="1"/>
  <c r="G16" i="15" s="1"/>
  <c r="M8" i="13"/>
  <c r="M14" i="15" s="1"/>
  <c r="M16" i="15" s="1"/>
  <c r="B8" i="13"/>
  <c r="B14" i="15" s="1"/>
  <c r="B16" i="15" s="1"/>
  <c r="D8" i="13"/>
  <c r="D14" i="15" s="1"/>
  <c r="D16" i="15" s="1"/>
  <c r="J8" i="13"/>
  <c r="J14" i="15" s="1"/>
  <c r="J16" i="15" s="1"/>
  <c r="K8" i="13"/>
  <c r="K14" i="15" s="1"/>
  <c r="K16" i="15" s="1"/>
  <c r="C8" i="1"/>
  <c r="C14" i="4" s="1"/>
  <c r="G8" i="1"/>
  <c r="G14" i="4" s="1"/>
  <c r="K8" i="1"/>
  <c r="K14" i="4" s="1"/>
  <c r="E8" i="12"/>
  <c r="E14" i="14" s="1"/>
  <c r="E16" i="14" s="1"/>
  <c r="I8" i="12"/>
  <c r="I14" i="14" s="1"/>
  <c r="I16" i="14" s="1"/>
  <c r="H8" i="13"/>
  <c r="H14" i="15" s="1"/>
  <c r="H16" i="15" s="1"/>
  <c r="K7" i="12"/>
  <c r="K6" i="14" s="1"/>
  <c r="K9" i="14" s="1"/>
  <c r="B19" i="14"/>
  <c r="M7" i="12"/>
  <c r="M6" i="14" s="1"/>
  <c r="M9" i="14" s="1"/>
  <c r="N16" i="12"/>
  <c r="F7" i="12"/>
  <c r="F6" i="14" s="1"/>
  <c r="F9" i="14" s="1"/>
  <c r="E7" i="12"/>
  <c r="E6" i="14" s="1"/>
  <c r="E9" i="14" s="1"/>
  <c r="N5" i="12"/>
  <c r="J19" i="14"/>
  <c r="D7" i="12"/>
  <c r="D6" i="14" s="1"/>
  <c r="D9" i="14" s="1"/>
  <c r="N20" i="1"/>
  <c r="M7" i="1"/>
  <c r="M6" i="4" s="1"/>
  <c r="M9" i="4" s="1"/>
  <c r="D19" i="4"/>
  <c r="N18" i="1"/>
  <c r="N4" i="1"/>
  <c r="K7" i="13"/>
  <c r="J7" i="13"/>
  <c r="J10" i="13" s="1"/>
  <c r="C10" i="13"/>
  <c r="D7" i="13"/>
  <c r="H7" i="13"/>
  <c r="L7" i="13"/>
  <c r="N6" i="13"/>
  <c r="N7" i="13" s="1"/>
  <c r="N13" i="13"/>
  <c r="N13" i="1"/>
  <c r="J7" i="12"/>
  <c r="J6" i="14" s="1"/>
  <c r="J9" i="14" s="1"/>
  <c r="H7" i="12"/>
  <c r="L7" i="12"/>
  <c r="G6" i="12"/>
  <c r="G7" i="12" s="1"/>
  <c r="N4" i="12"/>
  <c r="N13" i="12"/>
  <c r="F6" i="1"/>
  <c r="F7" i="1" s="1"/>
  <c r="F6" i="4" s="1"/>
  <c r="L7" i="1"/>
  <c r="L6" i="4" s="1"/>
  <c r="N5" i="1"/>
  <c r="B7" i="1"/>
  <c r="N16" i="1"/>
  <c r="I10" i="1"/>
  <c r="G10" i="1"/>
  <c r="D10" i="1"/>
  <c r="D10" i="13" l="1"/>
  <c r="I10" i="13"/>
  <c r="C10" i="12"/>
  <c r="F10" i="13"/>
  <c r="G10" i="13"/>
  <c r="E10" i="13"/>
  <c r="K10" i="12"/>
  <c r="K10" i="13"/>
  <c r="H10" i="1"/>
  <c r="L10" i="13"/>
  <c r="N8" i="13"/>
  <c r="M10" i="13"/>
  <c r="E10" i="1"/>
  <c r="F10" i="1"/>
  <c r="K10" i="1"/>
  <c r="N6" i="1"/>
  <c r="B22" i="12"/>
  <c r="B23" i="12" s="1"/>
  <c r="B24" i="12" s="1"/>
  <c r="I10" i="12"/>
  <c r="J10" i="1"/>
  <c r="B10" i="12"/>
  <c r="B22" i="13"/>
  <c r="B23" i="13" s="1"/>
  <c r="N8" i="12"/>
  <c r="B10" i="13"/>
  <c r="H10" i="13"/>
  <c r="D10" i="12"/>
  <c r="J10" i="12"/>
  <c r="E10" i="12"/>
  <c r="H10" i="12"/>
  <c r="H6" i="14"/>
  <c r="H9" i="14" s="1"/>
  <c r="G10" i="12"/>
  <c r="G6" i="14"/>
  <c r="G9" i="14" s="1"/>
  <c r="L10" i="12"/>
  <c r="L6" i="14"/>
  <c r="L9" i="14" s="1"/>
  <c r="M10" i="12"/>
  <c r="F10" i="12"/>
  <c r="B10" i="1"/>
  <c r="B6" i="4"/>
  <c r="C10" i="1"/>
  <c r="C6" i="4"/>
  <c r="N10" i="13"/>
  <c r="B24" i="13"/>
  <c r="N6" i="12"/>
  <c r="N7" i="12" s="1"/>
  <c r="N7" i="1"/>
  <c r="L10" i="1"/>
  <c r="M10" i="1"/>
  <c r="N10" i="12" l="1"/>
  <c r="B24" i="1"/>
  <c r="N8" i="1"/>
  <c r="N10" i="1" s="1"/>
  <c r="B27" i="10"/>
  <c r="B25" i="10"/>
  <c r="B21" i="10"/>
  <c r="B17" i="10"/>
  <c r="B18" i="10"/>
  <c r="B13" i="10"/>
  <c r="B12" i="10"/>
  <c r="B11" i="10"/>
  <c r="C9" i="4"/>
  <c r="D9" i="4"/>
  <c r="E9" i="4"/>
  <c r="F9" i="4"/>
  <c r="G9" i="4"/>
  <c r="H9" i="4"/>
  <c r="I9" i="4"/>
  <c r="J9" i="4"/>
  <c r="K9" i="4"/>
  <c r="L9" i="4"/>
  <c r="C16" i="4"/>
  <c r="D16" i="4"/>
  <c r="E16" i="4"/>
  <c r="F16" i="4"/>
  <c r="G16" i="4"/>
  <c r="H16" i="4"/>
  <c r="I16" i="4"/>
  <c r="J16" i="4"/>
  <c r="K16" i="4"/>
  <c r="L16" i="4"/>
  <c r="B16" i="4"/>
  <c r="B9" i="4"/>
  <c r="B11" i="4" s="1"/>
  <c r="B28" i="4" s="1"/>
  <c r="L15" i="13" l="1"/>
  <c r="H15" i="13"/>
  <c r="D15" i="13"/>
  <c r="J15" i="12"/>
  <c r="F15" i="12"/>
  <c r="B15" i="12"/>
  <c r="M15" i="1"/>
  <c r="I15" i="1"/>
  <c r="E15" i="1"/>
  <c r="H15" i="1"/>
  <c r="F15" i="13"/>
  <c r="L15" i="12"/>
  <c r="H15" i="12"/>
  <c r="D15" i="12"/>
  <c r="K15" i="1"/>
  <c r="C15" i="1"/>
  <c r="M15" i="13"/>
  <c r="E15" i="13"/>
  <c r="G15" i="12"/>
  <c r="J15" i="1"/>
  <c r="K15" i="13"/>
  <c r="G15" i="13"/>
  <c r="C15" i="13"/>
  <c r="M15" i="12"/>
  <c r="I15" i="12"/>
  <c r="E15" i="12"/>
  <c r="D15" i="1"/>
  <c r="J15" i="13"/>
  <c r="B15" i="13"/>
  <c r="G15" i="1"/>
  <c r="I15" i="13"/>
  <c r="K15" i="12"/>
  <c r="C15" i="12"/>
  <c r="L15" i="1"/>
  <c r="F15" i="1"/>
  <c r="B15" i="1"/>
  <c r="B15" i="7"/>
  <c r="B16" i="7" s="1"/>
  <c r="E16" i="7"/>
  <c r="M14" i="13"/>
  <c r="I14" i="13"/>
  <c r="I20" i="13" s="1"/>
  <c r="E14" i="13"/>
  <c r="J14" i="12"/>
  <c r="J20" i="12" s="1"/>
  <c r="F14" i="12"/>
  <c r="B14" i="12"/>
  <c r="C14" i="1"/>
  <c r="C22" i="1" s="1"/>
  <c r="K14" i="1"/>
  <c r="G14" i="1"/>
  <c r="J14" i="13"/>
  <c r="J20" i="13" s="1"/>
  <c r="G14" i="12"/>
  <c r="J14" i="1"/>
  <c r="J22" i="1" s="1"/>
  <c r="L14" i="13"/>
  <c r="H14" i="13"/>
  <c r="D14" i="13"/>
  <c r="M14" i="12"/>
  <c r="M20" i="12" s="1"/>
  <c r="I14" i="12"/>
  <c r="E14" i="12"/>
  <c r="M14" i="1"/>
  <c r="I14" i="1"/>
  <c r="I22" i="1" s="1"/>
  <c r="B14" i="1"/>
  <c r="B22" i="1" s="1"/>
  <c r="F14" i="13"/>
  <c r="F20" i="13" s="1"/>
  <c r="K14" i="12"/>
  <c r="K20" i="12" s="1"/>
  <c r="H14" i="1"/>
  <c r="D14" i="1"/>
  <c r="K14" i="13"/>
  <c r="G14" i="13"/>
  <c r="C14" i="13"/>
  <c r="L14" i="12"/>
  <c r="L20" i="12" s="1"/>
  <c r="H14" i="12"/>
  <c r="D14" i="12"/>
  <c r="L14" i="1"/>
  <c r="E14" i="1"/>
  <c r="E22" i="1" s="1"/>
  <c r="B14" i="13"/>
  <c r="C14" i="12"/>
  <c r="F14" i="1"/>
  <c r="B25" i="1"/>
  <c r="B26" i="1" s="1"/>
  <c r="B31" i="10"/>
  <c r="H20" i="12" l="1"/>
  <c r="H22" i="12" s="1"/>
  <c r="H23" i="12" s="1"/>
  <c r="H24" i="12" s="1"/>
  <c r="K20" i="13"/>
  <c r="K21" i="15" s="1"/>
  <c r="K23" i="15" s="1"/>
  <c r="K26" i="15" s="1"/>
  <c r="K29" i="15" s="1"/>
  <c r="E20" i="12"/>
  <c r="H20" i="13"/>
  <c r="I20" i="12"/>
  <c r="I22" i="12" s="1"/>
  <c r="I23" i="12" s="1"/>
  <c r="I24" i="12" s="1"/>
  <c r="L20" i="13"/>
  <c r="L22" i="13" s="1"/>
  <c r="G22" i="1"/>
  <c r="G24" i="1" s="1"/>
  <c r="G25" i="1" s="1"/>
  <c r="G26" i="1" s="1"/>
  <c r="F20" i="12"/>
  <c r="M20" i="13"/>
  <c r="M22" i="13" s="1"/>
  <c r="M23" i="13" s="1"/>
  <c r="M24" i="13" s="1"/>
  <c r="C20" i="12"/>
  <c r="C21" i="14" s="1"/>
  <c r="C23" i="14" s="1"/>
  <c r="C26" i="14" s="1"/>
  <c r="C29" i="14" s="1"/>
  <c r="D22" i="1"/>
  <c r="D21" i="4" s="1"/>
  <c r="D23" i="4" s="1"/>
  <c r="D26" i="4" s="1"/>
  <c r="D29" i="4" s="1"/>
  <c r="F22" i="1"/>
  <c r="F24" i="1" s="1"/>
  <c r="F25" i="1" s="1"/>
  <c r="F26" i="1" s="1"/>
  <c r="L22" i="1"/>
  <c r="L21" i="4" s="1"/>
  <c r="L23" i="4" s="1"/>
  <c r="L26" i="4" s="1"/>
  <c r="L29" i="4" s="1"/>
  <c r="C20" i="13"/>
  <c r="C21" i="15" s="1"/>
  <c r="C23" i="15" s="1"/>
  <c r="C26" i="15" s="1"/>
  <c r="C29" i="15" s="1"/>
  <c r="H22" i="1"/>
  <c r="H24" i="1" s="1"/>
  <c r="H25" i="1" s="1"/>
  <c r="H26" i="1" s="1"/>
  <c r="K22" i="1"/>
  <c r="K24" i="1" s="1"/>
  <c r="K25" i="1" s="1"/>
  <c r="K26" i="1" s="1"/>
  <c r="N15" i="13"/>
  <c r="N15" i="12"/>
  <c r="D20" i="12"/>
  <c r="G20" i="13"/>
  <c r="G21" i="15" s="1"/>
  <c r="G23" i="15" s="1"/>
  <c r="G26" i="15" s="1"/>
  <c r="G29" i="15" s="1"/>
  <c r="M22" i="1"/>
  <c r="M21" i="4" s="1"/>
  <c r="M23" i="4" s="1"/>
  <c r="M26" i="4" s="1"/>
  <c r="M29" i="4" s="1"/>
  <c r="D20" i="13"/>
  <c r="D22" i="13" s="1"/>
  <c r="D23" i="13" s="1"/>
  <c r="D24" i="13" s="1"/>
  <c r="G20" i="12"/>
  <c r="E20" i="13"/>
  <c r="E21" i="15" s="1"/>
  <c r="E23" i="15" s="1"/>
  <c r="E26" i="15" s="1"/>
  <c r="E29" i="15" s="1"/>
  <c r="N15" i="1"/>
  <c r="C22" i="13"/>
  <c r="C23" i="13" s="1"/>
  <c r="C24" i="13" s="1"/>
  <c r="H21" i="4"/>
  <c r="H23" i="4" s="1"/>
  <c r="H26" i="4" s="1"/>
  <c r="H29" i="4" s="1"/>
  <c r="I21" i="4"/>
  <c r="I23" i="4" s="1"/>
  <c r="I26" i="4" s="1"/>
  <c r="I29" i="4" s="1"/>
  <c r="I24" i="1"/>
  <c r="I25" i="1" s="1"/>
  <c r="I26" i="1" s="1"/>
  <c r="M21" i="14"/>
  <c r="M23" i="14" s="1"/>
  <c r="M26" i="14" s="1"/>
  <c r="M29" i="14" s="1"/>
  <c r="M22" i="12"/>
  <c r="M23" i="12" s="1"/>
  <c r="M24" i="12" s="1"/>
  <c r="J21" i="4"/>
  <c r="J23" i="4" s="1"/>
  <c r="J26" i="4" s="1"/>
  <c r="J29" i="4" s="1"/>
  <c r="J24" i="1"/>
  <c r="J25" i="1" s="1"/>
  <c r="J26" i="1" s="1"/>
  <c r="J21" i="14"/>
  <c r="J23" i="14" s="1"/>
  <c r="J26" i="14" s="1"/>
  <c r="J29" i="14" s="1"/>
  <c r="J22" i="12"/>
  <c r="J23" i="12" s="1"/>
  <c r="J24" i="12" s="1"/>
  <c r="D21" i="14"/>
  <c r="D23" i="14" s="1"/>
  <c r="D26" i="14" s="1"/>
  <c r="D29" i="14" s="1"/>
  <c r="D22" i="12"/>
  <c r="D23" i="12" s="1"/>
  <c r="D24" i="12" s="1"/>
  <c r="G22" i="13"/>
  <c r="G23" i="13" s="1"/>
  <c r="G24" i="13" s="1"/>
  <c r="K21" i="14"/>
  <c r="K23" i="14" s="1"/>
  <c r="K26" i="14" s="1"/>
  <c r="K29" i="14" s="1"/>
  <c r="K22" i="12"/>
  <c r="K23" i="12" s="1"/>
  <c r="K24" i="12" s="1"/>
  <c r="G21" i="14"/>
  <c r="G23" i="14" s="1"/>
  <c r="G26" i="14" s="1"/>
  <c r="G29" i="14" s="1"/>
  <c r="G22" i="12"/>
  <c r="G23" i="12" s="1"/>
  <c r="G24" i="12" s="1"/>
  <c r="C21" i="4"/>
  <c r="C23" i="4" s="1"/>
  <c r="C26" i="4" s="1"/>
  <c r="C29" i="4" s="1"/>
  <c r="C24" i="1"/>
  <c r="C25" i="1" s="1"/>
  <c r="C26" i="1" s="1"/>
  <c r="N14" i="13"/>
  <c r="B20" i="13"/>
  <c r="B21" i="15" s="1"/>
  <c r="B23" i="15" s="1"/>
  <c r="B26" i="15" s="1"/>
  <c r="B29" i="15" s="1"/>
  <c r="H21" i="14"/>
  <c r="H23" i="14" s="1"/>
  <c r="H26" i="14" s="1"/>
  <c r="H29" i="14" s="1"/>
  <c r="F21" i="15"/>
  <c r="F23" i="15" s="1"/>
  <c r="F26" i="15" s="1"/>
  <c r="F29" i="15" s="1"/>
  <c r="F22" i="13"/>
  <c r="F23" i="13" s="1"/>
  <c r="F24" i="13" s="1"/>
  <c r="E21" i="14"/>
  <c r="E23" i="14" s="1"/>
  <c r="E26" i="14" s="1"/>
  <c r="E29" i="14" s="1"/>
  <c r="E22" i="12"/>
  <c r="E23" i="12" s="1"/>
  <c r="E24" i="12" s="1"/>
  <c r="H21" i="15"/>
  <c r="H23" i="15" s="1"/>
  <c r="H26" i="15" s="1"/>
  <c r="H29" i="15" s="1"/>
  <c r="H22" i="13"/>
  <c r="H23" i="13" s="1"/>
  <c r="H24" i="13" s="1"/>
  <c r="J21" i="15"/>
  <c r="J23" i="15" s="1"/>
  <c r="J26" i="15" s="1"/>
  <c r="J29" i="15" s="1"/>
  <c r="J22" i="13"/>
  <c r="J23" i="13" s="1"/>
  <c r="J24" i="13" s="1"/>
  <c r="B20" i="12"/>
  <c r="B21" i="14" s="1"/>
  <c r="B23" i="14" s="1"/>
  <c r="B26" i="14" s="1"/>
  <c r="B29" i="14" s="1"/>
  <c r="N14" i="12"/>
  <c r="I21" i="15"/>
  <c r="I23" i="15" s="1"/>
  <c r="I26" i="15" s="1"/>
  <c r="I29" i="15" s="1"/>
  <c r="I22" i="13"/>
  <c r="I23" i="13" s="1"/>
  <c r="I24" i="13" s="1"/>
  <c r="E21" i="4"/>
  <c r="E23" i="4" s="1"/>
  <c r="E26" i="4" s="1"/>
  <c r="E29" i="4" s="1"/>
  <c r="E24" i="1"/>
  <c r="E25" i="1" s="1"/>
  <c r="E26" i="1" s="1"/>
  <c r="L21" i="14"/>
  <c r="L23" i="14" s="1"/>
  <c r="L26" i="14" s="1"/>
  <c r="L29" i="14" s="1"/>
  <c r="L22" i="12"/>
  <c r="L23" i="12" s="1"/>
  <c r="L24" i="12" s="1"/>
  <c r="B21" i="4"/>
  <c r="B23" i="4" s="1"/>
  <c r="N14" i="1"/>
  <c r="I21" i="14"/>
  <c r="I23" i="14" s="1"/>
  <c r="I26" i="14" s="1"/>
  <c r="I29" i="14" s="1"/>
  <c r="F21" i="14"/>
  <c r="F23" i="14" s="1"/>
  <c r="F26" i="14" s="1"/>
  <c r="F29" i="14" s="1"/>
  <c r="F22" i="12"/>
  <c r="F23" i="12" s="1"/>
  <c r="F24" i="12" s="1"/>
  <c r="M21" i="15"/>
  <c r="M23" i="15" s="1"/>
  <c r="M26" i="15" s="1"/>
  <c r="M29" i="15" s="1"/>
  <c r="D24" i="1" l="1"/>
  <c r="D25" i="1" s="1"/>
  <c r="D26" i="1" s="1"/>
  <c r="G21" i="4"/>
  <c r="G23" i="4" s="1"/>
  <c r="G26" i="4" s="1"/>
  <c r="G29" i="4" s="1"/>
  <c r="C22" i="12"/>
  <c r="C23" i="12" s="1"/>
  <c r="C24" i="12" s="1"/>
  <c r="L21" i="15"/>
  <c r="L23" i="15" s="1"/>
  <c r="L26" i="15" s="1"/>
  <c r="L29" i="15" s="1"/>
  <c r="K22" i="13"/>
  <c r="K23" i="13" s="1"/>
  <c r="K24" i="13" s="1"/>
  <c r="D21" i="15"/>
  <c r="D23" i="15" s="1"/>
  <c r="D26" i="15" s="1"/>
  <c r="D29" i="15" s="1"/>
  <c r="N20" i="13"/>
  <c r="N22" i="13" s="1"/>
  <c r="M24" i="1"/>
  <c r="M25" i="1" s="1"/>
  <c r="M26" i="1" s="1"/>
  <c r="E22" i="13"/>
  <c r="E23" i="13" s="1"/>
  <c r="E24" i="13" s="1"/>
  <c r="K21" i="4"/>
  <c r="K23" i="4" s="1"/>
  <c r="K26" i="4" s="1"/>
  <c r="K29" i="4" s="1"/>
  <c r="L24" i="1"/>
  <c r="L25" i="1" s="1"/>
  <c r="L26" i="1" s="1"/>
  <c r="F21" i="4"/>
  <c r="F23" i="4" s="1"/>
  <c r="F26" i="4" s="1"/>
  <c r="F29" i="4" s="1"/>
  <c r="N20" i="12"/>
  <c r="N22" i="12" s="1"/>
  <c r="N22" i="1"/>
  <c r="N24" i="1" s="1"/>
  <c r="E15" i="7" s="1"/>
  <c r="L23" i="13"/>
  <c r="L24" i="13" s="1"/>
  <c r="B26" i="4"/>
  <c r="B29" i="4" s="1"/>
  <c r="B31" i="4" s="1"/>
  <c r="N23" i="13" l="1"/>
  <c r="N24" i="13" s="1"/>
  <c r="B26" i="12"/>
  <c r="N23" i="12"/>
  <c r="N24" i="12" s="1"/>
  <c r="N25" i="1"/>
  <c r="N26" i="1" s="1"/>
  <c r="B28" i="1"/>
  <c r="C3" i="4"/>
  <c r="C11" i="4" s="1"/>
  <c r="C28" i="4" s="1"/>
  <c r="C31" i="4" s="1"/>
  <c r="B33" i="4"/>
  <c r="C33" i="4" l="1"/>
  <c r="D3" i="4"/>
  <c r="D11" i="4" s="1"/>
  <c r="D28" i="4" s="1"/>
  <c r="D31" i="4" s="1"/>
  <c r="D33" i="4" l="1"/>
  <c r="E3" i="4"/>
  <c r="E11" i="4" s="1"/>
  <c r="E28" i="4" s="1"/>
  <c r="E31" i="4" s="1"/>
  <c r="E33" i="4" s="1"/>
  <c r="F3" i="4" l="1"/>
  <c r="F11" i="4" s="1"/>
  <c r="F28" i="4" s="1"/>
  <c r="F31" i="4" s="1"/>
  <c r="G3" i="4" s="1"/>
  <c r="G11" i="4" s="1"/>
  <c r="G28" i="4" s="1"/>
  <c r="G31" i="4" s="1"/>
  <c r="F33" i="4" l="1"/>
  <c r="G33" i="4"/>
  <c r="H3" i="4"/>
  <c r="H11" i="4" s="1"/>
  <c r="H28" i="4" s="1"/>
  <c r="H31" i="4" s="1"/>
  <c r="H33" i="4" l="1"/>
  <c r="I3" i="4"/>
  <c r="I11" i="4" s="1"/>
  <c r="I28" i="4" s="1"/>
  <c r="I31" i="4" s="1"/>
  <c r="I33" i="4" l="1"/>
  <c r="J3" i="4"/>
  <c r="J11" i="4" s="1"/>
  <c r="J28" i="4" s="1"/>
  <c r="J31" i="4" s="1"/>
  <c r="J33" i="4" l="1"/>
  <c r="K3" i="4"/>
  <c r="K11" i="4" s="1"/>
  <c r="K28" i="4" s="1"/>
  <c r="K31" i="4" s="1"/>
  <c r="K33" i="4" l="1"/>
  <c r="L3" i="4"/>
  <c r="L11" i="4" s="1"/>
  <c r="L28" i="4" s="1"/>
  <c r="L31" i="4" s="1"/>
  <c r="L33" i="4" l="1"/>
  <c r="M3" i="4"/>
  <c r="M11" i="4" s="1"/>
  <c r="M28" i="4" s="1"/>
  <c r="M31" i="4" s="1"/>
  <c r="M33" i="4" s="1"/>
  <c r="B3" i="14" l="1"/>
  <c r="B7" i="7"/>
  <c r="B12" i="7" l="1"/>
  <c r="E17" i="7" s="1"/>
  <c r="B11" i="14"/>
  <c r="B28" i="14" s="1"/>
  <c r="B31" i="14" s="1"/>
  <c r="B19" i="7" l="1"/>
  <c r="E18" i="7"/>
  <c r="E19" i="7" s="1"/>
  <c r="C3" i="14"/>
  <c r="C11" i="14" s="1"/>
  <c r="C28" i="14" s="1"/>
  <c r="C31" i="14" s="1"/>
  <c r="B33" i="14"/>
  <c r="E21" i="7" l="1"/>
  <c r="C33" i="14"/>
  <c r="D3" i="14"/>
  <c r="D11" i="14" s="1"/>
  <c r="D28" i="14" s="1"/>
  <c r="D31" i="14" s="1"/>
  <c r="D33" i="14" l="1"/>
  <c r="E3" i="14"/>
  <c r="E11" i="14" s="1"/>
  <c r="E28" i="14" s="1"/>
  <c r="E31" i="14" s="1"/>
  <c r="E33" i="14" l="1"/>
  <c r="F3" i="14"/>
  <c r="F11" i="14" s="1"/>
  <c r="F28" i="14" s="1"/>
  <c r="F31" i="14" s="1"/>
  <c r="F33" i="14" l="1"/>
  <c r="G3" i="14"/>
  <c r="G11" i="14" s="1"/>
  <c r="G28" i="14" s="1"/>
  <c r="G31" i="14" s="1"/>
  <c r="G33" i="14" l="1"/>
  <c r="H3" i="14"/>
  <c r="H11" i="14" s="1"/>
  <c r="H28" i="14" s="1"/>
  <c r="H31" i="14" s="1"/>
  <c r="H33" i="14" l="1"/>
  <c r="I3" i="14"/>
  <c r="I11" i="14" s="1"/>
  <c r="I28" i="14" s="1"/>
  <c r="I31" i="14" s="1"/>
  <c r="I33" i="14" l="1"/>
  <c r="J3" i="14"/>
  <c r="J11" i="14" s="1"/>
  <c r="J28" i="14" s="1"/>
  <c r="J31" i="14" s="1"/>
  <c r="J33" i="14" l="1"/>
  <c r="K3" i="14"/>
  <c r="K11" i="14" s="1"/>
  <c r="K28" i="14" s="1"/>
  <c r="K31" i="14" s="1"/>
  <c r="K33" i="14" l="1"/>
  <c r="L3" i="14"/>
  <c r="L11" i="14" s="1"/>
  <c r="L28" i="14" s="1"/>
  <c r="L31" i="14" s="1"/>
  <c r="L33" i="14" l="1"/>
  <c r="M3" i="14"/>
  <c r="M11" i="14" s="1"/>
  <c r="M28" i="14" s="1"/>
  <c r="M31" i="14" s="1"/>
  <c r="M33" i="14" s="1"/>
  <c r="B3" i="15" l="1"/>
  <c r="B7" i="16"/>
  <c r="B11" i="15" l="1"/>
  <c r="B28" i="15" s="1"/>
  <c r="B31" i="15" s="1"/>
  <c r="C3" i="15" s="1"/>
  <c r="C11" i="15" s="1"/>
  <c r="C28" i="15" s="1"/>
  <c r="C31" i="15" s="1"/>
  <c r="B12" i="16"/>
  <c r="B33" i="15" l="1"/>
  <c r="E17" i="16"/>
  <c r="E18" i="16" s="1"/>
  <c r="E19" i="16" s="1"/>
  <c r="B19" i="16"/>
  <c r="C33" i="15"/>
  <c r="D3" i="15"/>
  <c r="D11" i="15" s="1"/>
  <c r="D28" i="15" s="1"/>
  <c r="D31" i="15" s="1"/>
  <c r="E21" i="16" l="1"/>
  <c r="D33" i="15"/>
  <c r="E3" i="15"/>
  <c r="E11" i="15" s="1"/>
  <c r="E28" i="15" s="1"/>
  <c r="E31" i="15" s="1"/>
  <c r="F3" i="15" l="1"/>
  <c r="F11" i="15" s="1"/>
  <c r="F28" i="15" s="1"/>
  <c r="F31" i="15" s="1"/>
  <c r="E33" i="15"/>
  <c r="F33" i="15" l="1"/>
  <c r="G3" i="15"/>
  <c r="G11" i="15" s="1"/>
  <c r="G28" i="15" s="1"/>
  <c r="G31" i="15" s="1"/>
  <c r="G33" i="15" l="1"/>
  <c r="H3" i="15"/>
  <c r="H11" i="15" s="1"/>
  <c r="H28" i="15" s="1"/>
  <c r="H31" i="15" s="1"/>
  <c r="H33" i="15" l="1"/>
  <c r="I3" i="15"/>
  <c r="I11" i="15" s="1"/>
  <c r="I28" i="15" s="1"/>
  <c r="I31" i="15" s="1"/>
  <c r="I33" i="15" l="1"/>
  <c r="J3" i="15"/>
  <c r="J11" i="15" s="1"/>
  <c r="J28" i="15" s="1"/>
  <c r="J31" i="15" s="1"/>
  <c r="J33" i="15" l="1"/>
  <c r="K3" i="15"/>
  <c r="K11" i="15" s="1"/>
  <c r="K28" i="15" s="1"/>
  <c r="K31" i="15" s="1"/>
  <c r="K33" i="15" l="1"/>
  <c r="L3" i="15"/>
  <c r="L11" i="15" s="1"/>
  <c r="L28" i="15" s="1"/>
  <c r="L31" i="15" s="1"/>
  <c r="L33" i="15" l="1"/>
  <c r="M3" i="15"/>
  <c r="M11" i="15" s="1"/>
  <c r="M28" i="15" s="1"/>
  <c r="M31" i="15" s="1"/>
  <c r="M33" i="15" s="1"/>
  <c r="B7" i="17" s="1"/>
  <c r="B12" i="17" s="1"/>
  <c r="E17" i="17" l="1"/>
  <c r="E18" i="17" s="1"/>
  <c r="E19" i="17" s="1"/>
  <c r="B19" i="17"/>
  <c r="E21" i="17" l="1"/>
</calcChain>
</file>

<file path=xl/sharedStrings.xml><?xml version="1.0" encoding="utf-8"?>
<sst xmlns="http://schemas.openxmlformats.org/spreadsheetml/2006/main" count="409" uniqueCount="155">
  <si>
    <t xml:space="preserve">Income Statement Year 1 </t>
  </si>
  <si>
    <t>Income Statement Year 2</t>
  </si>
  <si>
    <t>Income Statement Year 3</t>
  </si>
  <si>
    <t xml:space="preserve">Cash Flow Year 1 </t>
  </si>
  <si>
    <t>Cash Flow Year 2</t>
  </si>
  <si>
    <t>Cash Flow Year 3</t>
  </si>
  <si>
    <t xml:space="preserve">Balance Sheet Year 1 </t>
  </si>
  <si>
    <t>Balance Sheet Year 2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</si>
  <si>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</si>
  <si>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</si>
  <si>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</si>
  <si>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</si>
  <si>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</si>
  <si>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</si>
  <si>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</si>
  <si>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</si>
  <si>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</si>
  <si>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</si>
  <si>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</si>
  <si>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</si>
  <si>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</si>
  <si>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</si>
  <si>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</si>
  <si>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</si>
  <si>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</si>
  <si>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</si>
  <si>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>Loan A</t>
  </si>
  <si>
    <t>Loan B</t>
  </si>
  <si>
    <t>Loan C</t>
  </si>
  <si>
    <t xml:space="preserve">Equipment </t>
  </si>
  <si>
    <t xml:space="preserve">Inventory </t>
  </si>
  <si>
    <t>Marketing</t>
  </si>
  <si>
    <t>Website</t>
  </si>
  <si>
    <t xml:space="preserve">Capital </t>
  </si>
  <si>
    <t xml:space="preserve">Past Purchases Items Already Bought for the Business </t>
  </si>
  <si>
    <t xml:space="preserve">Funding Sources </t>
  </si>
  <si>
    <t xml:space="preserve">Total Start Up Costs </t>
  </si>
  <si>
    <t>Wages</t>
  </si>
  <si>
    <t>Legal Fees</t>
  </si>
  <si>
    <t xml:space="preserve">Advertising </t>
  </si>
  <si>
    <t xml:space="preserve">Interest Expense </t>
  </si>
  <si>
    <t xml:space="preserve">Total Expenses </t>
  </si>
  <si>
    <t xml:space="preserve">Estimated Income Tax % </t>
  </si>
  <si>
    <t>Net Profit After Tax</t>
  </si>
  <si>
    <r>
      <t>2. Gross Profit: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=B6-B8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(Revenue - Cost of Goods Sold)</t>
    </r>
  </si>
  <si>
    <t>Income Statement (Profit &amp; Loss Statement)</t>
  </si>
  <si>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Required Formula Usage:</t>
    </r>
  </si>
  <si>
    <t>Format Requirements:</t>
  </si>
  <si>
    <r>
      <rPr>
        <sz val="12"/>
        <color rgb="FF000000"/>
        <rFont val="Times New Roman"/>
        <family val="1"/>
      </rPr>
      <t>Add a </t>
    </r>
    <r>
      <rPr>
        <b/>
        <sz val="12"/>
        <color rgb="FF000000"/>
        <rFont val="Times New Roman"/>
        <family val="1"/>
      </rPr>
      <t>profit margin percentage formula: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=B18/B6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(Net Income ÷ Revenue)</t>
    </r>
  </si>
  <si>
    <r>
      <t>1. Total Revenue: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=SUM(B4:B6)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(if revenue is in rows 4-6)</t>
    </r>
  </si>
  <si>
    <t>COGS</t>
  </si>
  <si>
    <r>
      <t>3. Total Operating Expenses: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=SUM(B10:B17)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(Sum of fixed &amp; variable costs)</t>
    </r>
  </si>
  <si>
    <r>
      <t>4. Net Income (Profit/Loss):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=B10-B8-B20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(Gross Profit - Operating Expenses)</t>
    </r>
  </si>
  <si>
    <t>Net Income Before Tax</t>
  </si>
  <si>
    <t xml:space="preserve">Total Revenue </t>
  </si>
  <si>
    <t xml:space="preserve">Operating </t>
  </si>
  <si>
    <t xml:space="preserve">Gross Profit </t>
  </si>
  <si>
    <r>
      <t>Ensure the equation </t>
    </r>
    <r>
      <rPr>
        <b/>
        <sz val="12"/>
        <color rgb="FF000000"/>
        <rFont val="Calibri"/>
        <family val="2"/>
        <scheme val="minor"/>
      </rPr>
      <t>Assets = Liabilities + Equity</t>
    </r>
    <r>
      <rPr>
        <sz val="12"/>
        <color rgb="FF000000"/>
        <rFont val="Calibri"/>
        <family val="2"/>
        <scheme val="minor"/>
      </rPr>
      <t> holds for every month.</t>
    </r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</si>
  <si>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</si>
  <si>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</si>
  <si>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</si>
  <si>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</si>
  <si>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>Balance Sheet</t>
  </si>
  <si>
    <r>
      <t> </t>
    </r>
    <r>
      <rPr>
        <b/>
        <sz val="12"/>
        <color rgb="FF000000"/>
        <rFont val="Calibri"/>
        <family val="2"/>
        <scheme val="minor"/>
      </rPr>
      <t>Required Formula Usage:</t>
    </r>
  </si>
  <si>
    <t>Use conditional formatting to highlight negative cash balances in red.</t>
  </si>
  <si>
    <r>
      <t>Use </t>
    </r>
    <r>
      <rPr>
        <b/>
        <sz val="12"/>
        <color rgb="FF000000"/>
        <rFont val="Calibri"/>
        <family val="2"/>
        <scheme val="minor"/>
      </rPr>
      <t>bold for section totals</t>
    </r>
    <r>
      <rPr>
        <sz val="12"/>
        <color rgb="FF000000"/>
        <rFont val="Calibri"/>
        <family val="2"/>
        <scheme val="minor"/>
      </rPr>
      <t> (Total Assets, Total Liabilities, Total Equity).</t>
    </r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</si>
  <si>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</si>
  <si>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</si>
  <si>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</si>
  <si>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</si>
  <si>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</si>
  <si>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</si>
  <si>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</si>
  <si>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 xml:space="preserve">Salaries and Wages </t>
  </si>
  <si>
    <t>Rent</t>
  </si>
  <si>
    <t xml:space="preserve">Office Supplies etc.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</si>
  <si>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</si>
  <si>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</si>
  <si>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</si>
  <si>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</si>
  <si>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</si>
  <si>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</si>
  <si>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r>
      <t>Ensure </t>
    </r>
    <r>
      <rPr>
        <b/>
        <sz val="12"/>
        <color rgb="FF000000"/>
        <rFont val="Calibri"/>
        <family val="2"/>
        <scheme val="minor"/>
      </rPr>
      <t>Assets column = Liabilities + Equity column</t>
    </r>
    <r>
      <rPr>
        <sz val="12"/>
        <color rgb="FF000000"/>
        <rFont val="Calibri"/>
        <family val="2"/>
        <scheme val="minor"/>
      </rPr>
      <t> </t>
    </r>
  </si>
  <si>
    <t xml:space="preserve">Net Changes in Cash </t>
  </si>
  <si>
    <t>Retained Earnings</t>
  </si>
  <si>
    <t xml:space="preserve">Ending Cash Balance </t>
  </si>
  <si>
    <t xml:space="preserve">Start up costs </t>
  </si>
  <si>
    <t>Electric lice comb</t>
  </si>
  <si>
    <t>Lice Comb</t>
  </si>
  <si>
    <t xml:space="preserve">Quantity </t>
  </si>
  <si>
    <t>https://www.google.com/search?q=nits+and+lice+treatment&amp;rlz=1C1UUXU_esMX936MX936&amp;oq=nits+and+&amp;gs_lcrp=EgZjaHJvbWUqCAgDEAAYFhgeMgYIABBFGDkyBwgBEAAYgAQyBwgCEAAYgAQyCAgDEAAYFhgeMggIBBAAGBYYHjIICAUQABgWGB4yCAgGEAAYFhgeMggIBxAAGBYYHjIICAgQABgWGB4yCAgJEAAYFhge0gEKMjI5NjRqMGoxNagCALACAA&amp;sourceid=chrome&amp;ie=UTF-8</t>
  </si>
  <si>
    <t>https://ozerty-canada.com/products/universal-electric-lice-comb?currency=CAD&amp;variant=44046532378777&amp;stkn=30c1ac16177b&amp;ref=MANUALFAIL&amp;gad_source=1&amp;gclid=CjwKCAiAw5W-BhAhEiwApv4goMGmVivHFxH4CnlWCBYOcvZs9Gc_yUkGCNrnxLM6ZuTDkt_mScB12RoCCmoQAvD_BwE</t>
  </si>
  <si>
    <t xml:space="preserve">Shampoo anti  lice </t>
  </si>
  <si>
    <t>https://www.doordash.com/browse/merchants/11087102/products/4029125070527?business_id=11087102&amp;gad_source=1&amp;gclid=CjwKCAiAw5W-BhAhEiwApv4goPa5QI58trRgRtENhgO-gzkdzfEmaufM9IM4OIFcLnqB-I7w5OehCBoCKs4QAvD_BwE&amp;kclickid=_k_CjwKCAiAw5W-BhAhEiwApv4goPa5QI58trRgRtENhgO-gzkdzfEmaufM9IM4OIFcLnqB-I7w5OehCBoCKs4QAvD_BwE_k_&amp;ms_id=4029125070527&amp;o_d_id=dx_71bd062d0ebf49189ef18aa8c63cdad9&amp;region_id=23607017&amp;store_id=23607017&amp;utm_adgroup_id=&amp;utm_campaign=CX_CA_SE_LP_GO_NVT_CCAXXX_20563264296_CONVEN_%20PL_TOT_CONVN_CAREBEAUTYPMX_EVG_ROAS_XXX_COCAN_EN_EN_X_DOOR_GO_SE_TXT_PerformMax&amp;utm_content=&amp;utm_creative_id=&amp;utm_keyword_id=&amp;utm_medium=PLA&amp;utm_source=Google&amp;utm_term=</t>
  </si>
  <si>
    <t xml:space="preserve">Head lice treatment </t>
  </si>
  <si>
    <t>https://www.nyda.ca/en/?gad_source=1&amp;gclid=CjwKCAiAw5W-BhAhEiwApv4goCa0nj3PhERbOkVWtz3yxN9NAAgZKayapqiiX52NA2xMIWO8YQOx6RoC-8sQAvD_BwE</t>
  </si>
  <si>
    <t xml:space="preserve">ATM terminal </t>
  </si>
  <si>
    <t>https://newdawndistributing.net/</t>
  </si>
  <si>
    <t xml:space="preserve">Conditioner anti  lice </t>
  </si>
  <si>
    <t xml:space="preserve">Flayers </t>
  </si>
  <si>
    <t>Digital</t>
  </si>
  <si>
    <t xml:space="preserve">Facebook </t>
  </si>
  <si>
    <t xml:space="preserve">Instagram  </t>
  </si>
  <si>
    <t xml:space="preserve">Personal Computer </t>
  </si>
  <si>
    <t>Microsoft</t>
  </si>
  <si>
    <t>Insurance</t>
  </si>
  <si>
    <t xml:space="preserve">Insurance </t>
  </si>
  <si>
    <t xml:space="preserve">Small table </t>
  </si>
  <si>
    <t xml:space="preserve">Chair </t>
  </si>
  <si>
    <t xml:space="preserve">Opening charges </t>
  </si>
  <si>
    <t xml:space="preserve">Service Accounting </t>
  </si>
  <si>
    <t>Sales Category 2_Post-treatment 30min</t>
  </si>
  <si>
    <t>Sales Category 2_Home care products</t>
  </si>
  <si>
    <t>Gas</t>
  </si>
  <si>
    <t>Sales Category 1_Treatment 1hr</t>
  </si>
  <si>
    <t xml:space="preserve">Profit Margin </t>
  </si>
  <si>
    <t xml:space="preserve">kits </t>
  </si>
  <si>
    <t>Suplies</t>
  </si>
  <si>
    <t>ASSETS</t>
  </si>
  <si>
    <t>Current assets</t>
  </si>
  <si>
    <t xml:space="preserve">Cash </t>
  </si>
  <si>
    <t>Inventory</t>
  </si>
  <si>
    <t>Prepaid expense</t>
  </si>
  <si>
    <t>Investment</t>
  </si>
  <si>
    <t xml:space="preserve">Total Current Assets </t>
  </si>
  <si>
    <t>Property and Equipment</t>
  </si>
  <si>
    <t>Other assets</t>
  </si>
  <si>
    <t>Total assets</t>
  </si>
  <si>
    <t xml:space="preserve">Lice and Nits Nockout </t>
  </si>
  <si>
    <t xml:space="preserve">December 31, 2025 </t>
  </si>
  <si>
    <t xml:space="preserve">Liabilities and Sharedholders Equity </t>
  </si>
  <si>
    <t>Current Liabilities</t>
  </si>
  <si>
    <t>Accounts Payable</t>
  </si>
  <si>
    <t>Notes Payable</t>
  </si>
  <si>
    <t>Total Current Liabilities</t>
  </si>
  <si>
    <t>Long-term debt</t>
  </si>
  <si>
    <t>Total liabilities</t>
  </si>
  <si>
    <t>Shareholders Equity</t>
  </si>
  <si>
    <t xml:space="preserve">Total liabilities+shareholders equity </t>
  </si>
  <si>
    <t>Capital</t>
  </si>
  <si>
    <t xml:space="preserve">Profit </t>
  </si>
  <si>
    <t xml:space="preserve">Depreciation </t>
  </si>
  <si>
    <t>Depreciation laptop</t>
  </si>
  <si>
    <t xml:space="preserve">Depreciation equipment </t>
  </si>
  <si>
    <t xml:space="preserve">December 31, 2026 </t>
  </si>
  <si>
    <t>Retain Earnings</t>
  </si>
  <si>
    <t xml:space="preserve">Total equity </t>
  </si>
  <si>
    <t xml:space="preserve">Total Shareholders equity </t>
  </si>
  <si>
    <t xml:space="preserve">Balance Sheet Year 3 </t>
  </si>
  <si>
    <t>December 31, 2027</t>
  </si>
  <si>
    <t>y2</t>
  </si>
  <si>
    <t>y3</t>
  </si>
  <si>
    <t>y1</t>
  </si>
  <si>
    <t>Accounting Services</t>
  </si>
  <si>
    <t>cuote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</si>
</sst>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i/>
      <sz val="12"/>
      <color rgb="FF000000"/>
      <name val="Times New Roman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0" fontId="0" fillId="3" borderId="0" xfId="0" applyFill="1"/>
    <xf numFmtId="44" fontId="0" fillId="0" borderId="0" xfId="0" applyNumberFormat="1"/>
    <xf numFmtId="44" fontId="1" fillId="0" borderId="0" xfId="0" applyNumberFormat="1" applyFont="1"/>
    <xf numFmtId="0" fontId="1" fillId="3" borderId="0" xfId="0" applyFont="1" applyFill="1"/>
    <xf numFmtId="10" fontId="1" fillId="3" borderId="0" xfId="2" applyNumberFormat="1" applyFont="1" applyFill="1"/>
    <xf numFmtId="10" fontId="1" fillId="0" borderId="0" xfId="2" applyNumberFormat="1" applyFont="1" applyFill="1"/>
    <xf numFmtId="0" fontId="0" fillId="6" borderId="0" xfId="0" applyFill="1"/>
    <xf numFmtId="0" fontId="0" fillId="7" borderId="9" xfId="0" applyFill="1" applyBorder="1"/>
    <xf numFmtId="44" fontId="0" fillId="7" borderId="9" xfId="0" applyNumberFormat="1" applyFill="1" applyBorder="1"/>
    <xf numFmtId="44" fontId="1" fillId="7" borderId="9" xfId="0" applyNumberFormat="1" applyFont="1" applyFill="1" applyBorder="1"/>
    <xf numFmtId="0" fontId="1" fillId="7" borderId="9" xfId="0" applyFont="1" applyFill="1" applyBorder="1" applyAlignment="1">
      <alignment wrapText="1"/>
    </xf>
    <xf numFmtId="0" fontId="16" fillId="0" borderId="0" xfId="3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/>
    <xf numFmtId="0" fontId="0" fillId="0" borderId="4" xfId="0" applyBorder="1"/>
    <xf numFmtId="44" fontId="0" fillId="0" borderId="0" xfId="1" applyFont="1" applyBorder="1"/>
    <xf numFmtId="0" fontId="1" fillId="6" borderId="4" xfId="0" applyFont="1" applyFill="1" applyBorder="1"/>
    <xf numFmtId="44" fontId="0" fillId="6" borderId="0" xfId="1" applyFont="1" applyFill="1" applyBorder="1"/>
    <xf numFmtId="0" fontId="0" fillId="6" borderId="5" xfId="0" applyFill="1" applyBorder="1"/>
    <xf numFmtId="0" fontId="0" fillId="3" borderId="4" xfId="0" applyFill="1" applyBorder="1"/>
    <xf numFmtId="44" fontId="0" fillId="3" borderId="0" xfId="1" applyFont="1" applyFill="1" applyBorder="1"/>
    <xf numFmtId="0" fontId="0" fillId="3" borderId="5" xfId="0" applyFill="1" applyBorder="1"/>
    <xf numFmtId="44" fontId="0" fillId="0" borderId="0" xfId="1" applyFont="1" applyFill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6" borderId="0" xfId="0" applyNumberFormat="1" applyFill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4" fontId="1" fillId="6" borderId="0" xfId="1" applyFont="1" applyFill="1" applyBorder="1"/>
    <xf numFmtId="0" fontId="1" fillId="6" borderId="0" xfId="0" applyFont="1" applyFill="1"/>
    <xf numFmtId="0" fontId="0" fillId="0" borderId="1" xfId="0" applyBorder="1"/>
    <xf numFmtId="44" fontId="0" fillId="0" borderId="3" xfId="1" applyFont="1" applyBorder="1"/>
    <xf numFmtId="44" fontId="0" fillId="0" borderId="5" xfId="1" applyFont="1" applyFill="1" applyBorder="1"/>
    <xf numFmtId="44" fontId="0" fillId="0" borderId="5" xfId="1" applyFont="1" applyBorder="1"/>
    <xf numFmtId="0" fontId="0" fillId="3" borderId="6" xfId="0" applyFill="1" applyBorder="1"/>
    <xf numFmtId="44" fontId="0" fillId="0" borderId="8" xfId="1" applyFont="1" applyBorder="1"/>
    <xf numFmtId="0" fontId="0" fillId="4" borderId="0" xfId="0" applyFill="1"/>
    <xf numFmtId="44" fontId="1" fillId="3" borderId="0" xfId="0" applyNumberFormat="1" applyFont="1" applyFill="1"/>
    <xf numFmtId="44" fontId="0" fillId="3" borderId="0" xfId="0" applyNumberFormat="1" applyFill="1"/>
    <xf numFmtId="44" fontId="0" fillId="0" borderId="0" xfId="1" quotePrefix="1" applyFont="1" applyBorder="1"/>
    <xf numFmtId="44" fontId="0" fillId="0" borderId="0" xfId="1" applyFont="1" applyFill="1" applyBorder="1" applyAlignment="1"/>
    <xf numFmtId="44" fontId="0" fillId="0" borderId="0" xfId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4" borderId="13" xfId="0" applyFont="1" applyFill="1" applyBorder="1"/>
    <xf numFmtId="0" fontId="0" fillId="4" borderId="14" xfId="0" applyFill="1" applyBorder="1"/>
    <xf numFmtId="44" fontId="1" fillId="0" borderId="14" xfId="1" applyFont="1" applyBorder="1"/>
    <xf numFmtId="0" fontId="1" fillId="3" borderId="13" xfId="0" applyFont="1" applyFill="1" applyBorder="1"/>
    <xf numFmtId="44" fontId="1" fillId="3" borderId="14" xfId="0" applyNumberFormat="1" applyFont="1" applyFill="1" applyBorder="1"/>
    <xf numFmtId="0" fontId="1" fillId="0" borderId="14" xfId="0" applyFont="1" applyBorder="1"/>
    <xf numFmtId="0" fontId="1" fillId="4" borderId="14" xfId="0" applyFont="1" applyFill="1" applyBorder="1"/>
    <xf numFmtId="44" fontId="1" fillId="0" borderId="14" xfId="0" applyNumberFormat="1" applyFont="1" applyBorder="1"/>
    <xf numFmtId="0" fontId="0" fillId="0" borderId="13" xfId="0" applyBorder="1" applyAlignment="1">
      <alignment horizontal="left"/>
    </xf>
    <xf numFmtId="0" fontId="1" fillId="0" borderId="13" xfId="0" applyFont="1" applyBorder="1"/>
    <xf numFmtId="0" fontId="1" fillId="3" borderId="15" xfId="0" applyFont="1" applyFill="1" applyBorder="1"/>
    <xf numFmtId="44" fontId="0" fillId="3" borderId="16" xfId="0" applyNumberFormat="1" applyFill="1" applyBorder="1"/>
    <xf numFmtId="44" fontId="1" fillId="3" borderId="17" xfId="0" applyNumberFormat="1" applyFont="1" applyFill="1" applyBorder="1"/>
    <xf numFmtId="0" fontId="0" fillId="0" borderId="21" xfId="0" applyBorder="1"/>
    <xf numFmtId="0" fontId="0" fillId="0" borderId="22" xfId="0" applyBorder="1"/>
    <xf numFmtId="0" fontId="1" fillId="4" borderId="21" xfId="0" applyFont="1" applyFill="1" applyBorder="1"/>
    <xf numFmtId="0" fontId="0" fillId="4" borderId="22" xfId="0" applyFill="1" applyBorder="1"/>
    <xf numFmtId="44" fontId="1" fillId="0" borderId="22" xfId="1" applyFont="1" applyBorder="1"/>
    <xf numFmtId="0" fontId="1" fillId="3" borderId="21" xfId="0" applyFont="1" applyFill="1" applyBorder="1"/>
    <xf numFmtId="44" fontId="1" fillId="3" borderId="22" xfId="0" applyNumberFormat="1" applyFont="1" applyFill="1" applyBorder="1"/>
    <xf numFmtId="0" fontId="1" fillId="0" borderId="22" xfId="0" applyFont="1" applyBorder="1"/>
    <xf numFmtId="0" fontId="1" fillId="4" borderId="22" xfId="0" applyFont="1" applyFill="1" applyBorder="1"/>
    <xf numFmtId="44" fontId="1" fillId="0" borderId="22" xfId="0" applyNumberFormat="1" applyFont="1" applyBorder="1"/>
    <xf numFmtId="0" fontId="0" fillId="0" borderId="21" xfId="0" applyBorder="1" applyAlignment="1">
      <alignment horizontal="left"/>
    </xf>
    <xf numFmtId="0" fontId="1" fillId="0" borderId="21" xfId="0" applyFont="1" applyBorder="1"/>
    <xf numFmtId="0" fontId="1" fillId="3" borderId="23" xfId="0" applyFont="1" applyFill="1" applyBorder="1"/>
    <xf numFmtId="44" fontId="0" fillId="3" borderId="24" xfId="0" applyNumberFormat="1" applyFill="1" applyBorder="1"/>
    <xf numFmtId="44" fontId="1" fillId="3" borderId="25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44" fontId="0" fillId="3" borderId="22" xfId="1" applyFont="1" applyFill="1" applyBorder="1"/>
    <xf numFmtId="44" fontId="0" fillId="0" borderId="22" xfId="0" applyNumberFormat="1" applyBorder="1"/>
    <xf numFmtId="44" fontId="0" fillId="0" borderId="22" xfId="1" applyFont="1" applyBorder="1"/>
    <xf numFmtId="0" fontId="13" fillId="3" borderId="21" xfId="0" applyFont="1" applyFill="1" applyBorder="1"/>
    <xf numFmtId="0" fontId="13" fillId="0" borderId="21" xfId="0" applyFont="1" applyBorder="1"/>
    <xf numFmtId="0" fontId="0" fillId="6" borderId="23" xfId="0" applyFill="1" applyBorder="1"/>
    <xf numFmtId="44" fontId="0" fillId="6" borderId="24" xfId="1" applyFont="1" applyFill="1" applyBorder="1"/>
    <xf numFmtId="44" fontId="0" fillId="6" borderId="25" xfId="1" applyFont="1" applyFill="1" applyBorder="1"/>
    <xf numFmtId="0" fontId="1" fillId="7" borderId="21" xfId="0" applyFont="1" applyFill="1" applyBorder="1"/>
    <xf numFmtId="0" fontId="0" fillId="7" borderId="0" xfId="0" applyFill="1"/>
    <xf numFmtId="0" fontId="1" fillId="7" borderId="0" xfId="0" applyFont="1" applyFill="1"/>
    <xf numFmtId="0" fontId="0" fillId="7" borderId="22" xfId="0" applyFill="1" applyBorder="1"/>
    <xf numFmtId="0" fontId="0" fillId="7" borderId="21" xfId="0" applyFill="1" applyBorder="1"/>
    <xf numFmtId="44" fontId="0" fillId="7" borderId="0" xfId="1" applyFont="1" applyFill="1" applyBorder="1"/>
    <xf numFmtId="44" fontId="0" fillId="7" borderId="22" xfId="1" applyFont="1" applyFill="1" applyBorder="1"/>
    <xf numFmtId="0" fontId="0" fillId="7" borderId="28" xfId="0" applyFill="1" applyBorder="1"/>
    <xf numFmtId="44" fontId="0" fillId="7" borderId="0" xfId="0" applyNumberFormat="1" applyFill="1"/>
    <xf numFmtId="44" fontId="0" fillId="7" borderId="29" xfId="1" applyFont="1" applyFill="1" applyBorder="1"/>
    <xf numFmtId="44" fontId="0" fillId="7" borderId="22" xfId="0" applyNumberFormat="1" applyFill="1" applyBorder="1"/>
    <xf numFmtId="0" fontId="1" fillId="7" borderId="0" xfId="0" applyFont="1" applyFill="1" applyAlignment="1">
      <alignment wrapText="1"/>
    </xf>
    <xf numFmtId="0" fontId="1" fillId="7" borderId="28" xfId="0" applyFont="1" applyFill="1" applyBorder="1"/>
    <xf numFmtId="44" fontId="1" fillId="7" borderId="0" xfId="0" applyNumberFormat="1" applyFont="1" applyFill="1"/>
    <xf numFmtId="44" fontId="1" fillId="7" borderId="29" xfId="0" applyNumberFormat="1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zerty-canada.com/products/universal-electric-lice-comb?currency=CAD&amp;variant=44046532378777&amp;stkn=30c1ac16177b&amp;ref=MANUALFAIL&amp;gad_source=1&amp;gclid=CjwKCAiAw5W-BhAhEiwApv4goMGmVivHFxH4CnlWCBYOcvZs9Gc_yUkGCNrnxLM6ZuTDkt_mScB12RoCCm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U37"/>
  <sheetViews>
    <sheetView tabSelected="1" zoomScale="78" zoomScaleNormal="78" workbookViewId="0">
      <selection activeCell="I12" sqref="I12"/>
    </sheetView>
  </sheetViews>
  <sheetFormatPr defaultColWidth="11" defaultRowHeight="15.75" x14ac:dyDescent="0.25"/>
  <cols>
    <col min="1" max="1" width="29.375" customWidth="1"/>
    <col min="3" max="6" width="11" customWidth="1"/>
    <col min="7" max="7" width="9.75" customWidth="1"/>
    <col min="13" max="13" width="11.375" bestFit="1" customWidth="1"/>
  </cols>
  <sheetData>
    <row r="1" spans="1:21" ht="31.5" customHeight="1" x14ac:dyDescent="0.25">
      <c r="A1" s="125" t="s">
        <v>22</v>
      </c>
      <c r="B1" s="126"/>
      <c r="C1" s="126"/>
      <c r="D1" s="126"/>
      <c r="E1" s="126"/>
      <c r="F1" s="126"/>
      <c r="G1" s="127"/>
    </row>
    <row r="2" spans="1:21" x14ac:dyDescent="0.25">
      <c r="A2" s="128" t="s">
        <v>34</v>
      </c>
      <c r="B2" s="129"/>
      <c r="C2" s="129"/>
      <c r="D2" s="129"/>
      <c r="E2" s="129"/>
      <c r="F2" s="129"/>
      <c r="G2" s="130"/>
    </row>
    <row r="3" spans="1:21" x14ac:dyDescent="0.25">
      <c r="A3" s="48" t="s">
        <v>24</v>
      </c>
      <c r="B3" s="49" t="s">
        <v>23</v>
      </c>
      <c r="C3" s="20" t="s">
        <v>89</v>
      </c>
      <c r="D3" s="49" t="s">
        <v>23</v>
      </c>
      <c r="E3" s="20" t="s">
        <v>89</v>
      </c>
      <c r="F3" s="49" t="s">
        <v>23</v>
      </c>
      <c r="G3" s="41" t="s">
        <v>89</v>
      </c>
      <c r="H3" s="2"/>
      <c r="I3" s="2"/>
      <c r="J3" s="2"/>
      <c r="K3" s="2"/>
      <c r="L3" s="2"/>
    </row>
    <row r="4" spans="1:21" ht="15.95" customHeight="1" x14ac:dyDescent="0.25">
      <c r="A4" s="34" t="s">
        <v>103</v>
      </c>
      <c r="B4" s="35">
        <v>500</v>
      </c>
      <c r="C4">
        <v>1</v>
      </c>
      <c r="G4" s="33"/>
      <c r="H4" s="2"/>
      <c r="I4" s="2"/>
      <c r="J4" s="2"/>
      <c r="K4" s="2"/>
      <c r="L4" s="2"/>
      <c r="M4" s="2"/>
      <c r="N4" s="2"/>
    </row>
    <row r="5" spans="1:21" x14ac:dyDescent="0.25">
      <c r="A5" s="34" t="s">
        <v>104</v>
      </c>
      <c r="B5" s="35">
        <v>25</v>
      </c>
      <c r="C5">
        <v>12</v>
      </c>
      <c r="G5" s="33"/>
      <c r="H5" s="2"/>
      <c r="I5" s="2"/>
      <c r="J5" s="2"/>
      <c r="K5" s="2"/>
      <c r="L5" s="2"/>
      <c r="M5" s="2"/>
      <c r="N5" s="2"/>
    </row>
    <row r="6" spans="1:21" hidden="1" x14ac:dyDescent="0.25">
      <c r="A6" s="34"/>
      <c r="B6" s="35"/>
      <c r="G6" s="33"/>
      <c r="M6" s="2"/>
      <c r="N6" s="2"/>
    </row>
    <row r="7" spans="1:21" hidden="1" x14ac:dyDescent="0.25">
      <c r="A7" s="34"/>
      <c r="B7" s="35"/>
      <c r="G7" s="33"/>
      <c r="K7" s="2"/>
      <c r="L7" s="2"/>
      <c r="M7" s="2"/>
      <c r="N7" s="2"/>
    </row>
    <row r="8" spans="1:21" hidden="1" x14ac:dyDescent="0.25">
      <c r="A8" s="34"/>
      <c r="B8" s="35"/>
      <c r="G8" s="33"/>
      <c r="M8" s="2"/>
      <c r="T8" s="2"/>
      <c r="U8" s="2"/>
    </row>
    <row r="9" spans="1:21" ht="22.5" customHeight="1" x14ac:dyDescent="0.25">
      <c r="A9" s="36" t="s">
        <v>86</v>
      </c>
      <c r="B9" s="37"/>
      <c r="C9" s="26"/>
      <c r="D9" s="26"/>
      <c r="E9" s="26"/>
      <c r="F9" s="26"/>
      <c r="G9" s="38"/>
      <c r="H9" s="3" t="s">
        <v>154</v>
      </c>
      <c r="I9" s="3"/>
      <c r="J9" s="3"/>
      <c r="K9" s="3"/>
      <c r="L9" s="3"/>
      <c r="M9" s="2"/>
      <c r="T9" s="2"/>
      <c r="U9" s="2"/>
    </row>
    <row r="10" spans="1:21" ht="15.95" customHeight="1" x14ac:dyDescent="0.25">
      <c r="A10" s="39" t="s">
        <v>29</v>
      </c>
      <c r="B10" s="40"/>
      <c r="C10" s="20"/>
      <c r="D10" s="20"/>
      <c r="E10" s="20"/>
      <c r="F10" s="20"/>
      <c r="G10" s="41"/>
      <c r="H10" s="3"/>
      <c r="I10" s="3"/>
      <c r="J10" s="3"/>
      <c r="K10" s="3"/>
      <c r="L10" s="3"/>
      <c r="M10" s="2"/>
    </row>
    <row r="11" spans="1:21" ht="15.95" customHeight="1" x14ac:dyDescent="0.25">
      <c r="A11" s="34" t="s">
        <v>87</v>
      </c>
      <c r="B11" s="35">
        <f>40*C11</f>
        <v>80</v>
      </c>
      <c r="C11">
        <v>2</v>
      </c>
      <c r="G11" s="33"/>
      <c r="H11" s="31" t="s">
        <v>91</v>
      </c>
      <c r="I11" s="32"/>
      <c r="J11" s="32"/>
      <c r="K11" s="32"/>
      <c r="L11" s="32"/>
      <c r="M11" s="2"/>
    </row>
    <row r="12" spans="1:21" ht="15.95" customHeight="1" x14ac:dyDescent="0.25">
      <c r="A12" s="34" t="s">
        <v>88</v>
      </c>
      <c r="B12" s="35">
        <f>20*C12</f>
        <v>40</v>
      </c>
      <c r="C12">
        <v>2</v>
      </c>
      <c r="G12" s="33"/>
      <c r="H12" s="32" t="s">
        <v>90</v>
      </c>
      <c r="I12" s="32"/>
      <c r="J12" s="32"/>
      <c r="K12" s="32"/>
      <c r="L12" s="32"/>
      <c r="M12" s="2"/>
    </row>
    <row r="13" spans="1:21" ht="15.95" customHeight="1" x14ac:dyDescent="0.25">
      <c r="A13" s="34" t="s">
        <v>96</v>
      </c>
      <c r="B13" s="35">
        <f>50*C13</f>
        <v>50</v>
      </c>
      <c r="C13">
        <v>1</v>
      </c>
      <c r="G13" s="33"/>
      <c r="H13" s="32" t="s">
        <v>93</v>
      </c>
      <c r="I13" s="32"/>
      <c r="J13" s="32"/>
      <c r="K13" s="32"/>
      <c r="L13" s="32"/>
      <c r="M13" s="2"/>
    </row>
    <row r="14" spans="1:21" ht="15.95" customHeight="1" x14ac:dyDescent="0.25">
      <c r="A14" s="34" t="s">
        <v>108</v>
      </c>
      <c r="B14" s="35">
        <v>50</v>
      </c>
      <c r="C14">
        <v>1</v>
      </c>
      <c r="G14" s="33"/>
      <c r="H14" s="32"/>
      <c r="I14" s="32"/>
      <c r="J14" s="32"/>
      <c r="K14" s="32"/>
      <c r="L14" s="32"/>
      <c r="M14" s="2"/>
    </row>
    <row r="15" spans="1:21" ht="15.95" customHeight="1" x14ac:dyDescent="0.25">
      <c r="A15" s="34" t="s">
        <v>107</v>
      </c>
      <c r="B15" s="35">
        <v>30</v>
      </c>
      <c r="C15">
        <v>1</v>
      </c>
      <c r="G15" s="33"/>
      <c r="H15" s="32"/>
      <c r="I15" s="32"/>
      <c r="J15" s="32"/>
      <c r="K15" s="32"/>
      <c r="L15" s="32"/>
      <c r="M15" s="2"/>
    </row>
    <row r="16" spans="1:21" ht="26.25" customHeight="1" x14ac:dyDescent="0.25">
      <c r="A16" s="36" t="s">
        <v>30</v>
      </c>
      <c r="B16" s="50" t="s">
        <v>152</v>
      </c>
      <c r="C16" s="51"/>
      <c r="D16" s="51" t="s">
        <v>150</v>
      </c>
      <c r="E16" s="51"/>
      <c r="F16" s="51" t="s">
        <v>151</v>
      </c>
      <c r="G16" s="38"/>
      <c r="H16" s="3"/>
      <c r="I16" s="3"/>
      <c r="J16" s="3"/>
      <c r="K16" s="3"/>
      <c r="L16" s="3"/>
      <c r="M16" s="2"/>
    </row>
    <row r="17" spans="1:13" ht="18" customHeight="1" x14ac:dyDescent="0.25">
      <c r="A17" s="34" t="s">
        <v>98</v>
      </c>
      <c r="B17" s="35">
        <f>28*C17</f>
        <v>140</v>
      </c>
      <c r="C17">
        <v>5</v>
      </c>
      <c r="D17" s="35">
        <f>28*E17</f>
        <v>420</v>
      </c>
      <c r="E17">
        <v>15</v>
      </c>
      <c r="F17" s="35">
        <f>28*G17</f>
        <v>840</v>
      </c>
      <c r="G17" s="33">
        <v>30</v>
      </c>
      <c r="H17" s="3" t="s">
        <v>97</v>
      </c>
      <c r="I17" s="3"/>
      <c r="J17" s="3"/>
      <c r="K17" s="3"/>
      <c r="L17" s="3"/>
      <c r="M17" s="2"/>
    </row>
    <row r="18" spans="1:13" x14ac:dyDescent="0.25">
      <c r="A18" s="34" t="s">
        <v>92</v>
      </c>
      <c r="B18" s="42">
        <f>32*C18</f>
        <v>160</v>
      </c>
      <c r="C18">
        <v>5</v>
      </c>
      <c r="D18" s="42">
        <f>32*E18</f>
        <v>480</v>
      </c>
      <c r="E18">
        <v>15</v>
      </c>
      <c r="F18" s="42">
        <f>32*G18</f>
        <v>960</v>
      </c>
      <c r="G18" s="33">
        <v>30</v>
      </c>
      <c r="H18" s="3"/>
      <c r="I18" s="3"/>
      <c r="J18" s="3"/>
      <c r="K18" s="3"/>
      <c r="L18" s="3"/>
      <c r="M18" s="2"/>
    </row>
    <row r="19" spans="1:13" ht="19.5" customHeight="1" x14ac:dyDescent="0.25">
      <c r="A19" s="34" t="s">
        <v>94</v>
      </c>
      <c r="B19" s="42">
        <f>40*C19</f>
        <v>200</v>
      </c>
      <c r="C19">
        <v>5</v>
      </c>
      <c r="D19" s="42">
        <f>40*E19</f>
        <v>600</v>
      </c>
      <c r="E19">
        <v>15</v>
      </c>
      <c r="F19" s="42">
        <f>40*G19</f>
        <v>1200</v>
      </c>
      <c r="G19" s="33">
        <v>30</v>
      </c>
      <c r="H19" s="3" t="s">
        <v>95</v>
      </c>
      <c r="I19" s="3"/>
      <c r="J19" s="3"/>
      <c r="K19" s="3"/>
      <c r="L19" s="3"/>
      <c r="M19" s="2"/>
    </row>
    <row r="20" spans="1:13" x14ac:dyDescent="0.25">
      <c r="A20" s="39" t="s">
        <v>31</v>
      </c>
      <c r="B20" s="20"/>
      <c r="C20" s="20"/>
      <c r="D20" s="20"/>
      <c r="E20" s="20"/>
      <c r="F20" s="20"/>
      <c r="G20" s="41"/>
      <c r="H20" s="3"/>
      <c r="I20" s="3"/>
      <c r="J20" s="3"/>
      <c r="K20" s="3"/>
      <c r="L20" s="3"/>
      <c r="M20" s="2"/>
    </row>
    <row r="21" spans="1:13" x14ac:dyDescent="0.25">
      <c r="A21" s="34" t="s">
        <v>99</v>
      </c>
      <c r="B21" s="42">
        <f>15*C21</f>
        <v>15</v>
      </c>
      <c r="C21">
        <v>1</v>
      </c>
      <c r="G21" s="33"/>
      <c r="H21" s="3"/>
      <c r="I21" s="3"/>
      <c r="J21" s="3"/>
      <c r="K21" s="3"/>
      <c r="L21" s="3"/>
      <c r="M21" s="2"/>
    </row>
    <row r="22" spans="1:13" x14ac:dyDescent="0.25">
      <c r="A22" s="34" t="s">
        <v>100</v>
      </c>
      <c r="B22" s="42">
        <v>30</v>
      </c>
      <c r="C22">
        <v>1</v>
      </c>
      <c r="G22" s="33"/>
      <c r="H22" s="3"/>
      <c r="I22" s="3"/>
      <c r="J22" s="3"/>
      <c r="K22" s="3"/>
      <c r="L22" s="3"/>
      <c r="M22" s="2"/>
    </row>
    <row r="23" spans="1:13" x14ac:dyDescent="0.25">
      <c r="A23" s="39" t="s">
        <v>32</v>
      </c>
      <c r="B23" s="20"/>
      <c r="C23" s="20"/>
      <c r="D23" s="20"/>
      <c r="E23" s="20"/>
      <c r="F23" s="20"/>
      <c r="G23" s="41"/>
      <c r="H23" s="3"/>
      <c r="I23" s="3"/>
      <c r="J23" s="3"/>
      <c r="K23" s="3"/>
      <c r="L23" s="3"/>
    </row>
    <row r="24" spans="1:13" x14ac:dyDescent="0.25">
      <c r="A24" s="34" t="s">
        <v>102</v>
      </c>
      <c r="B24" s="42">
        <f>25*C24</f>
        <v>25</v>
      </c>
      <c r="C24">
        <v>1</v>
      </c>
      <c r="G24" s="33"/>
      <c r="H24" s="3"/>
      <c r="I24" s="3"/>
      <c r="J24" s="3"/>
      <c r="K24" s="3"/>
      <c r="L24" s="3"/>
    </row>
    <row r="25" spans="1:13" x14ac:dyDescent="0.25">
      <c r="A25" s="34" t="s">
        <v>101</v>
      </c>
      <c r="B25" s="42">
        <f>25*C25</f>
        <v>25</v>
      </c>
      <c r="C25">
        <v>1</v>
      </c>
      <c r="G25" s="33"/>
      <c r="H25" s="3"/>
      <c r="I25" s="3"/>
      <c r="J25" s="3"/>
      <c r="K25" s="3"/>
      <c r="L25" s="3"/>
    </row>
    <row r="26" spans="1:13" x14ac:dyDescent="0.25">
      <c r="A26" s="39" t="s">
        <v>105</v>
      </c>
      <c r="B26" s="40"/>
      <c r="C26" s="20"/>
      <c r="D26" s="20"/>
      <c r="E26" s="20"/>
      <c r="F26" s="20"/>
      <c r="G26" s="41"/>
      <c r="H26" s="3"/>
      <c r="I26" s="3"/>
      <c r="J26" s="3"/>
      <c r="K26" s="3"/>
      <c r="L26" s="3"/>
    </row>
    <row r="27" spans="1:13" x14ac:dyDescent="0.25">
      <c r="A27" s="34" t="s">
        <v>106</v>
      </c>
      <c r="B27" s="42">
        <f>150*C27</f>
        <v>150</v>
      </c>
      <c r="C27">
        <v>1</v>
      </c>
      <c r="D27" s="21"/>
      <c r="E27" s="21"/>
      <c r="G27" s="33"/>
      <c r="H27" s="3"/>
      <c r="I27" s="3"/>
      <c r="J27" s="3"/>
      <c r="K27" s="3"/>
      <c r="L27" s="3"/>
    </row>
    <row r="28" spans="1:13" x14ac:dyDescent="0.25">
      <c r="A28" s="34" t="s">
        <v>33</v>
      </c>
      <c r="B28" s="35">
        <v>300</v>
      </c>
      <c r="D28" s="21"/>
      <c r="E28" s="21"/>
      <c r="G28" s="33"/>
    </row>
    <row r="29" spans="1:13" x14ac:dyDescent="0.25">
      <c r="A29" s="34" t="s">
        <v>109</v>
      </c>
      <c r="B29" s="35">
        <v>30</v>
      </c>
      <c r="C29">
        <v>1</v>
      </c>
      <c r="G29" s="33"/>
    </row>
    <row r="30" spans="1:13" x14ac:dyDescent="0.25">
      <c r="A30" s="34" t="s">
        <v>153</v>
      </c>
      <c r="B30" s="35">
        <v>400</v>
      </c>
      <c r="C30">
        <v>1</v>
      </c>
      <c r="G30" s="33"/>
    </row>
    <row r="31" spans="1:13" x14ac:dyDescent="0.25">
      <c r="A31" s="43" t="s">
        <v>36</v>
      </c>
      <c r="B31" s="22">
        <f>SUM(B4:B30)</f>
        <v>2250</v>
      </c>
      <c r="G31" s="33"/>
    </row>
    <row r="32" spans="1:13" x14ac:dyDescent="0.25">
      <c r="A32" s="43"/>
      <c r="D32" s="21"/>
      <c r="E32" s="21"/>
      <c r="G32" s="33"/>
    </row>
    <row r="33" spans="1:12" ht="27" customHeight="1" x14ac:dyDescent="0.25">
      <c r="A33" s="36" t="s">
        <v>35</v>
      </c>
      <c r="B33" s="26"/>
      <c r="C33" s="26"/>
      <c r="D33" s="26"/>
      <c r="E33" s="47"/>
      <c r="F33" s="26"/>
      <c r="G33" s="38"/>
      <c r="H33" s="2"/>
      <c r="I33" s="2"/>
      <c r="J33" s="2"/>
      <c r="K33" s="2"/>
      <c r="L33" s="2"/>
    </row>
    <row r="34" spans="1:12" ht="15.95" customHeight="1" x14ac:dyDescent="0.25">
      <c r="A34" s="34" t="s">
        <v>25</v>
      </c>
      <c r="B34" s="21">
        <f>B31</f>
        <v>2250</v>
      </c>
      <c r="G34" s="33"/>
      <c r="H34" s="2"/>
      <c r="I34" s="2"/>
      <c r="J34" s="2"/>
      <c r="K34" s="2"/>
      <c r="L34" s="2"/>
    </row>
    <row r="35" spans="1:12" x14ac:dyDescent="0.25">
      <c r="A35" s="34" t="s">
        <v>26</v>
      </c>
      <c r="G35" s="33"/>
      <c r="H35" s="2"/>
      <c r="I35" s="2"/>
      <c r="J35" s="2"/>
      <c r="K35" s="2"/>
      <c r="L35" s="2"/>
    </row>
    <row r="36" spans="1:12" x14ac:dyDescent="0.25">
      <c r="A36" s="34" t="s">
        <v>27</v>
      </c>
      <c r="G36" s="33"/>
      <c r="H36" s="2"/>
      <c r="I36" s="2"/>
      <c r="J36" s="2"/>
      <c r="K36" s="2"/>
      <c r="L36" s="2"/>
    </row>
    <row r="37" spans="1:12" x14ac:dyDescent="0.25">
      <c r="A37" s="44" t="s">
        <v>28</v>
      </c>
      <c r="B37" s="45"/>
      <c r="C37" s="45"/>
      <c r="D37" s="45"/>
      <c r="E37" s="45"/>
      <c r="F37" s="45"/>
      <c r="G37" s="46"/>
      <c r="H37" s="2"/>
      <c r="I37" s="2"/>
      <c r="J37" s="2"/>
      <c r="K37" s="2"/>
      <c r="L37" s="2"/>
    </row>
  </sheetData>
  <mergeCells count="2">
    <mergeCell ref="A1:G1"/>
    <mergeCell ref="A2:G2"/>
  </mergeCells>
  <hyperlinks>
    <hyperlink ref="H11" r:id="rId1" xr:uid="{527FC02D-9272-47AA-BE3F-248E577EC1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Q42"/>
  <sheetViews>
    <sheetView topLeftCell="A8" zoomScale="69" zoomScaleNormal="69" workbookViewId="0">
      <selection activeCell="H13" sqref="H13"/>
    </sheetView>
  </sheetViews>
  <sheetFormatPr defaultColWidth="11" defaultRowHeight="15.75" x14ac:dyDescent="0.25"/>
  <cols>
    <col min="1" max="1" width="36.875" customWidth="1"/>
    <col min="2" max="2" width="11" customWidth="1"/>
    <col min="14" max="14" width="13.625" customWidth="1"/>
  </cols>
  <sheetData>
    <row r="1" spans="1:17" ht="37.5" customHeight="1" x14ac:dyDescent="0.3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7" x14ac:dyDescent="0.25">
      <c r="A2" s="64"/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s="65" t="s">
        <v>21</v>
      </c>
    </row>
    <row r="3" spans="1:17" x14ac:dyDescent="0.25">
      <c r="A3" s="66" t="s">
        <v>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7"/>
    </row>
    <row r="4" spans="1:17" x14ac:dyDescent="0.25">
      <c r="A4" s="64" t="s">
        <v>114</v>
      </c>
      <c r="B4" s="35">
        <f>95*10</f>
        <v>950</v>
      </c>
      <c r="C4" s="35">
        <f>95*4</f>
        <v>380</v>
      </c>
      <c r="D4" s="35">
        <v>95</v>
      </c>
      <c r="E4" s="35">
        <v>95</v>
      </c>
      <c r="F4" s="35">
        <v>95</v>
      </c>
      <c r="G4" s="35">
        <v>95</v>
      </c>
      <c r="H4" s="35">
        <v>95</v>
      </c>
      <c r="I4" s="35">
        <v>95</v>
      </c>
      <c r="J4" s="35">
        <v>95</v>
      </c>
      <c r="K4" s="35">
        <v>95</v>
      </c>
      <c r="L4" s="35">
        <f>95*6</f>
        <v>570</v>
      </c>
      <c r="M4" s="35">
        <f>95*15</f>
        <v>1425</v>
      </c>
      <c r="N4" s="68">
        <f>SUM(B4:M4)</f>
        <v>4085</v>
      </c>
    </row>
    <row r="5" spans="1:17" x14ac:dyDescent="0.25">
      <c r="A5" s="64" t="s">
        <v>111</v>
      </c>
      <c r="B5" s="35">
        <f>45*10</f>
        <v>450</v>
      </c>
      <c r="C5" s="35">
        <f>45*4</f>
        <v>180</v>
      </c>
      <c r="D5" s="35">
        <v>50</v>
      </c>
      <c r="E5" s="35">
        <v>50</v>
      </c>
      <c r="F5" s="35">
        <v>50</v>
      </c>
      <c r="G5" s="35">
        <v>50</v>
      </c>
      <c r="H5" s="35">
        <v>50</v>
      </c>
      <c r="I5" s="35">
        <v>50</v>
      </c>
      <c r="J5" s="35">
        <v>50</v>
      </c>
      <c r="K5" s="35">
        <v>50</v>
      </c>
      <c r="L5" s="35">
        <f>45*6</f>
        <v>270</v>
      </c>
      <c r="M5" s="35">
        <f>45*15</f>
        <v>675</v>
      </c>
      <c r="N5" s="68">
        <f t="shared" ref="N5" si="0">SUM(B5:M5)</f>
        <v>1975</v>
      </c>
    </row>
    <row r="6" spans="1:17" x14ac:dyDescent="0.25">
      <c r="A6" s="64" t="s">
        <v>112</v>
      </c>
      <c r="B6" s="35">
        <f>B16*4</f>
        <v>144</v>
      </c>
      <c r="C6" s="35">
        <f>C16*1</f>
        <v>36</v>
      </c>
      <c r="D6" s="35">
        <f>D16*0</f>
        <v>0</v>
      </c>
      <c r="E6" s="35">
        <f>E16*0</f>
        <v>0</v>
      </c>
      <c r="F6" s="35">
        <f>F16*0</f>
        <v>0</v>
      </c>
      <c r="G6" s="35">
        <f>G16*0</f>
        <v>0</v>
      </c>
      <c r="H6" s="35">
        <f>H16*2</f>
        <v>72</v>
      </c>
      <c r="I6" s="35">
        <f>I16*0</f>
        <v>0</v>
      </c>
      <c r="J6" s="35">
        <f>J16*0</f>
        <v>0</v>
      </c>
      <c r="K6" s="35">
        <f>K16*0</f>
        <v>0</v>
      </c>
      <c r="L6" s="35">
        <f>L16*3</f>
        <v>108</v>
      </c>
      <c r="M6" s="35">
        <f t="shared" ref="M6" si="1">M16*4</f>
        <v>144</v>
      </c>
      <c r="N6" s="68">
        <f>SUM(B6:M6)</f>
        <v>504</v>
      </c>
    </row>
    <row r="7" spans="1:17" x14ac:dyDescent="0.25">
      <c r="A7" s="69" t="s">
        <v>54</v>
      </c>
      <c r="B7" s="59">
        <f t="shared" ref="B7:N7" si="2">SUM(B4:B6)</f>
        <v>1544</v>
      </c>
      <c r="C7" s="59">
        <f t="shared" si="2"/>
        <v>596</v>
      </c>
      <c r="D7" s="59">
        <f t="shared" si="2"/>
        <v>145</v>
      </c>
      <c r="E7" s="59">
        <f t="shared" si="2"/>
        <v>145</v>
      </c>
      <c r="F7" s="59">
        <f t="shared" si="2"/>
        <v>145</v>
      </c>
      <c r="G7" s="59">
        <f t="shared" si="2"/>
        <v>145</v>
      </c>
      <c r="H7" s="59">
        <f t="shared" si="2"/>
        <v>217</v>
      </c>
      <c r="I7" s="59">
        <f t="shared" si="2"/>
        <v>145</v>
      </c>
      <c r="J7" s="59">
        <f t="shared" si="2"/>
        <v>145</v>
      </c>
      <c r="K7" s="59">
        <f t="shared" si="2"/>
        <v>145</v>
      </c>
      <c r="L7" s="59">
        <f t="shared" si="2"/>
        <v>948</v>
      </c>
      <c r="M7" s="59">
        <f t="shared" si="2"/>
        <v>2244</v>
      </c>
      <c r="N7" s="70">
        <f t="shared" si="2"/>
        <v>6564</v>
      </c>
      <c r="O7" s="21"/>
    </row>
    <row r="8" spans="1:17" x14ac:dyDescent="0.25">
      <c r="A8" s="69" t="s">
        <v>50</v>
      </c>
      <c r="B8" s="40">
        <f>('Start Up Costs '!B19/5)*10</f>
        <v>400</v>
      </c>
      <c r="C8" s="40">
        <f>('Start Up Costs '!B19/5)*4</f>
        <v>160</v>
      </c>
      <c r="D8" s="40">
        <f>'Start Up Costs '!B19/5</f>
        <v>40</v>
      </c>
      <c r="E8" s="40">
        <f>'Start Up Costs '!B19/5</f>
        <v>40</v>
      </c>
      <c r="F8" s="40">
        <f>'Start Up Costs '!B19/5</f>
        <v>40</v>
      </c>
      <c r="G8" s="40">
        <f>'Start Up Costs '!B19/5</f>
        <v>40</v>
      </c>
      <c r="H8" s="40">
        <f>'Start Up Costs '!B19/5</f>
        <v>40</v>
      </c>
      <c r="I8" s="40">
        <f>'Start Up Costs '!B19/5</f>
        <v>40</v>
      </c>
      <c r="J8" s="40">
        <f>'Start Up Costs '!B19/5</f>
        <v>40</v>
      </c>
      <c r="K8" s="40">
        <f>'Start Up Costs '!B19/5</f>
        <v>40</v>
      </c>
      <c r="L8" s="40">
        <f>('Start Up Costs '!B19/5)*6</f>
        <v>240</v>
      </c>
      <c r="M8" s="40">
        <f>('Start Up Costs '!B19/5)*15</f>
        <v>600</v>
      </c>
      <c r="N8" s="70">
        <f>B8+C8+D8+E8+F8+G8+H8+I8+J8+K8+L8+M8</f>
        <v>1720</v>
      </c>
    </row>
    <row r="9" spans="1:17" x14ac:dyDescent="0.25">
      <c r="A9" s="64"/>
      <c r="N9" s="71"/>
    </row>
    <row r="10" spans="1:17" x14ac:dyDescent="0.25">
      <c r="A10" s="69" t="s">
        <v>56</v>
      </c>
      <c r="B10" s="60">
        <f>B7-B8</f>
        <v>1144</v>
      </c>
      <c r="C10" s="60">
        <f t="shared" ref="C10:L10" si="3">C7-C8</f>
        <v>436</v>
      </c>
      <c r="D10" s="60">
        <f t="shared" si="3"/>
        <v>105</v>
      </c>
      <c r="E10" s="60">
        <f>E7-E8</f>
        <v>105</v>
      </c>
      <c r="F10" s="60">
        <f t="shared" si="3"/>
        <v>105</v>
      </c>
      <c r="G10" s="60">
        <f t="shared" si="3"/>
        <v>105</v>
      </c>
      <c r="H10" s="60">
        <f t="shared" si="3"/>
        <v>177</v>
      </c>
      <c r="I10" s="60">
        <f t="shared" si="3"/>
        <v>105</v>
      </c>
      <c r="J10" s="60">
        <f t="shared" si="3"/>
        <v>105</v>
      </c>
      <c r="K10" s="60">
        <f t="shared" si="3"/>
        <v>105</v>
      </c>
      <c r="L10" s="60">
        <f t="shared" si="3"/>
        <v>708</v>
      </c>
      <c r="M10" s="60">
        <f>M7-M8</f>
        <v>1644</v>
      </c>
      <c r="N10" s="70">
        <f>N7-N8</f>
        <v>4844</v>
      </c>
    </row>
    <row r="11" spans="1:17" x14ac:dyDescent="0.25">
      <c r="A11" s="64"/>
      <c r="N11" s="71"/>
    </row>
    <row r="12" spans="1:17" x14ac:dyDescent="0.25">
      <c r="A12" s="66" t="s">
        <v>55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72"/>
    </row>
    <row r="13" spans="1:17" x14ac:dyDescent="0.25">
      <c r="A13" s="64" t="s">
        <v>37</v>
      </c>
      <c r="B13" s="35">
        <f>19*15</f>
        <v>285</v>
      </c>
      <c r="C13" s="35">
        <f>19*6</f>
        <v>114</v>
      </c>
      <c r="D13" s="35">
        <f>19*1.5</f>
        <v>28.5</v>
      </c>
      <c r="E13" s="35">
        <f t="shared" ref="E13:K13" si="4">19*1.5</f>
        <v>28.5</v>
      </c>
      <c r="F13" s="35">
        <f t="shared" si="4"/>
        <v>28.5</v>
      </c>
      <c r="G13" s="35">
        <f t="shared" si="4"/>
        <v>28.5</v>
      </c>
      <c r="H13" s="35">
        <f t="shared" si="4"/>
        <v>28.5</v>
      </c>
      <c r="I13" s="35">
        <f t="shared" si="4"/>
        <v>28.5</v>
      </c>
      <c r="J13" s="35">
        <f t="shared" si="4"/>
        <v>28.5</v>
      </c>
      <c r="K13" s="35">
        <f t="shared" si="4"/>
        <v>28.5</v>
      </c>
      <c r="L13" s="35">
        <f>19*9</f>
        <v>171</v>
      </c>
      <c r="M13" s="35">
        <f>19*19</f>
        <v>361</v>
      </c>
      <c r="N13" s="73">
        <f t="shared" ref="N13:N21" si="5">SUM(B13:M13)</f>
        <v>1159</v>
      </c>
      <c r="P13" s="52" t="s">
        <v>98</v>
      </c>
      <c r="Q13" s="53">
        <v>140</v>
      </c>
    </row>
    <row r="14" spans="1:17" x14ac:dyDescent="0.25">
      <c r="A14" s="64" t="s">
        <v>38</v>
      </c>
      <c r="B14" s="61">
        <f>'Start Up Costs '!B27/12</f>
        <v>12.5</v>
      </c>
      <c r="C14" s="61">
        <f>'Start Up Costs '!B27/12</f>
        <v>12.5</v>
      </c>
      <c r="D14" s="61">
        <f>'Start Up Costs '!B27/12</f>
        <v>12.5</v>
      </c>
      <c r="E14" s="61">
        <f>'Start Up Costs '!B27/12</f>
        <v>12.5</v>
      </c>
      <c r="F14" s="61">
        <f>'Start Up Costs '!B27/12</f>
        <v>12.5</v>
      </c>
      <c r="G14" s="61">
        <f>'Start Up Costs '!B27/12</f>
        <v>12.5</v>
      </c>
      <c r="H14" s="61">
        <f>'Start Up Costs '!B27/12</f>
        <v>12.5</v>
      </c>
      <c r="I14" s="61">
        <f>'Start Up Costs '!B27/12</f>
        <v>12.5</v>
      </c>
      <c r="J14" s="61">
        <f>'Start Up Costs '!B27/12</f>
        <v>12.5</v>
      </c>
      <c r="K14" s="61">
        <f>'Start Up Costs '!B27/12</f>
        <v>12.5</v>
      </c>
      <c r="L14" s="61">
        <f>'Start Up Costs '!B27/12</f>
        <v>12.5</v>
      </c>
      <c r="M14" s="61">
        <f>'Start Up Costs '!B27/12</f>
        <v>12.5</v>
      </c>
      <c r="N14" s="73">
        <f t="shared" si="5"/>
        <v>150</v>
      </c>
      <c r="P14" s="34" t="s">
        <v>92</v>
      </c>
      <c r="Q14" s="54">
        <v>160</v>
      </c>
    </row>
    <row r="15" spans="1:17" x14ac:dyDescent="0.25">
      <c r="A15" s="64" t="s">
        <v>39</v>
      </c>
      <c r="B15" s="35">
        <f>'Start Up Costs '!B22+'Start Up Costs '!B21</f>
        <v>45</v>
      </c>
      <c r="C15" s="35">
        <f>'Start Up Costs '!B22+'Start Up Costs '!B21</f>
        <v>45</v>
      </c>
      <c r="D15" s="35">
        <f>'Start Up Costs '!B22+'Start Up Costs '!B21</f>
        <v>45</v>
      </c>
      <c r="E15" s="35">
        <f>'Start Up Costs '!B22+'Start Up Costs '!B21</f>
        <v>45</v>
      </c>
      <c r="F15" s="35">
        <f>'Start Up Costs '!B22+'Start Up Costs '!B21</f>
        <v>45</v>
      </c>
      <c r="G15" s="35">
        <f>'Start Up Costs '!B22+'Start Up Costs '!B21</f>
        <v>45</v>
      </c>
      <c r="H15" s="35">
        <f>'Start Up Costs '!B22+'Start Up Costs '!B21</f>
        <v>45</v>
      </c>
      <c r="I15" s="35">
        <f>'Start Up Costs '!B22+'Start Up Costs '!B21</f>
        <v>45</v>
      </c>
      <c r="J15" s="35">
        <f>'Start Up Costs '!B22+'Start Up Costs '!B21</f>
        <v>45</v>
      </c>
      <c r="K15" s="35">
        <f>'Start Up Costs '!B22+'Start Up Costs '!B21</f>
        <v>45</v>
      </c>
      <c r="L15" s="35">
        <f>'Start Up Costs '!B22+'Start Up Costs '!B21</f>
        <v>45</v>
      </c>
      <c r="M15" s="35">
        <f>'Start Up Costs '!B22+'Start Up Costs '!B21</f>
        <v>45</v>
      </c>
      <c r="N15" s="73">
        <f t="shared" si="5"/>
        <v>540</v>
      </c>
      <c r="P15" s="34" t="s">
        <v>94</v>
      </c>
      <c r="Q15" s="54">
        <v>200</v>
      </c>
    </row>
    <row r="16" spans="1:17" x14ac:dyDescent="0.25">
      <c r="A16" s="64" t="s">
        <v>116</v>
      </c>
      <c r="B16" s="35">
        <f>120*0.3</f>
        <v>36</v>
      </c>
      <c r="C16" s="35">
        <f t="shared" ref="C16:M16" si="6">120*0.3</f>
        <v>36</v>
      </c>
      <c r="D16" s="35">
        <f t="shared" si="6"/>
        <v>36</v>
      </c>
      <c r="E16" s="35">
        <f t="shared" si="6"/>
        <v>36</v>
      </c>
      <c r="F16" s="35">
        <f t="shared" si="6"/>
        <v>36</v>
      </c>
      <c r="G16" s="35">
        <f t="shared" si="6"/>
        <v>36</v>
      </c>
      <c r="H16" s="35">
        <f t="shared" si="6"/>
        <v>36</v>
      </c>
      <c r="I16" s="35">
        <f t="shared" si="6"/>
        <v>36</v>
      </c>
      <c r="J16" s="35">
        <f t="shared" si="6"/>
        <v>36</v>
      </c>
      <c r="K16" s="35">
        <f t="shared" si="6"/>
        <v>36</v>
      </c>
      <c r="L16" s="35">
        <f t="shared" si="6"/>
        <v>36</v>
      </c>
      <c r="M16" s="35">
        <f t="shared" si="6"/>
        <v>36</v>
      </c>
      <c r="N16" s="73">
        <f t="shared" si="5"/>
        <v>432</v>
      </c>
      <c r="P16" s="39" t="s">
        <v>31</v>
      </c>
      <c r="Q16" s="33"/>
    </row>
    <row r="17" spans="1:17" x14ac:dyDescent="0.25">
      <c r="A17" s="64" t="s">
        <v>40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73">
        <f t="shared" si="5"/>
        <v>0</v>
      </c>
      <c r="P17" s="34" t="s">
        <v>99</v>
      </c>
      <c r="Q17" s="54">
        <v>15</v>
      </c>
    </row>
    <row r="18" spans="1:17" ht="15" customHeight="1" x14ac:dyDescent="0.25">
      <c r="A18" s="64" t="s">
        <v>113</v>
      </c>
      <c r="B18" s="62">
        <f>5*10</f>
        <v>50</v>
      </c>
      <c r="C18" s="62">
        <f>5*4</f>
        <v>20</v>
      </c>
      <c r="D18" s="62">
        <f>5*1</f>
        <v>5</v>
      </c>
      <c r="E18" s="62">
        <f>5*1</f>
        <v>5</v>
      </c>
      <c r="F18" s="62">
        <f t="shared" ref="F18:K18" si="7">5*1</f>
        <v>5</v>
      </c>
      <c r="G18" s="62">
        <f t="shared" si="7"/>
        <v>5</v>
      </c>
      <c r="H18" s="62">
        <f t="shared" si="7"/>
        <v>5</v>
      </c>
      <c r="I18" s="62">
        <f t="shared" si="7"/>
        <v>5</v>
      </c>
      <c r="J18" s="62">
        <f t="shared" si="7"/>
        <v>5</v>
      </c>
      <c r="K18" s="62">
        <f t="shared" si="7"/>
        <v>5</v>
      </c>
      <c r="L18" s="62">
        <f>5*6</f>
        <v>30</v>
      </c>
      <c r="M18" s="62">
        <f>5*4</f>
        <v>20</v>
      </c>
      <c r="N18" s="73">
        <f t="shared" si="5"/>
        <v>160</v>
      </c>
      <c r="P18" s="34" t="s">
        <v>100</v>
      </c>
      <c r="Q18" s="54">
        <v>30</v>
      </c>
    </row>
    <row r="19" spans="1:17" ht="15" customHeight="1" x14ac:dyDescent="0.25">
      <c r="A19" s="74" t="s">
        <v>117</v>
      </c>
      <c r="B19" s="63">
        <v>45</v>
      </c>
      <c r="C19" s="63">
        <v>45</v>
      </c>
      <c r="D19" s="63">
        <v>45</v>
      </c>
      <c r="E19" s="63">
        <v>45</v>
      </c>
      <c r="F19" s="63">
        <v>45</v>
      </c>
      <c r="G19" s="63">
        <v>45</v>
      </c>
      <c r="H19" s="63">
        <v>45</v>
      </c>
      <c r="I19" s="63">
        <v>45</v>
      </c>
      <c r="J19" s="63">
        <v>45</v>
      </c>
      <c r="K19" s="63">
        <v>45</v>
      </c>
      <c r="L19" s="63">
        <v>45</v>
      </c>
      <c r="M19" s="63">
        <v>45</v>
      </c>
      <c r="N19" s="73">
        <f t="shared" ref="N19" si="8">SUM(B19:M19)</f>
        <v>540</v>
      </c>
      <c r="P19" s="39" t="s">
        <v>32</v>
      </c>
      <c r="Q19" s="33"/>
    </row>
    <row r="20" spans="1:17" ht="15" customHeight="1" x14ac:dyDescent="0.25">
      <c r="A20" s="74" t="s">
        <v>142</v>
      </c>
      <c r="B20" s="63">
        <f>500/12</f>
        <v>41.666666666666664</v>
      </c>
      <c r="C20" s="63">
        <f t="shared" ref="C20:M20" si="9">500/12</f>
        <v>41.666666666666664</v>
      </c>
      <c r="D20" s="63">
        <f t="shared" si="9"/>
        <v>41.666666666666664</v>
      </c>
      <c r="E20" s="63">
        <f t="shared" si="9"/>
        <v>41.666666666666664</v>
      </c>
      <c r="F20" s="63">
        <f t="shared" si="9"/>
        <v>41.666666666666664</v>
      </c>
      <c r="G20" s="63">
        <f t="shared" si="9"/>
        <v>41.666666666666664</v>
      </c>
      <c r="H20" s="63">
        <f t="shared" si="9"/>
        <v>41.666666666666664</v>
      </c>
      <c r="I20" s="63">
        <f t="shared" si="9"/>
        <v>41.666666666666664</v>
      </c>
      <c r="J20" s="63">
        <f t="shared" si="9"/>
        <v>41.666666666666664</v>
      </c>
      <c r="K20" s="63">
        <f t="shared" si="9"/>
        <v>41.666666666666664</v>
      </c>
      <c r="L20" s="63">
        <f t="shared" si="9"/>
        <v>41.666666666666664</v>
      </c>
      <c r="M20" s="63">
        <f t="shared" si="9"/>
        <v>41.666666666666664</v>
      </c>
      <c r="N20" s="73">
        <f t="shared" si="5"/>
        <v>500.00000000000006</v>
      </c>
      <c r="P20" s="34" t="s">
        <v>102</v>
      </c>
      <c r="Q20" s="54">
        <v>25</v>
      </c>
    </row>
    <row r="21" spans="1:17" ht="15" customHeight="1" x14ac:dyDescent="0.25">
      <c r="A21" s="74" t="s">
        <v>143</v>
      </c>
      <c r="B21" s="63">
        <f>('Start Up Costs '!B11+'Start Up Costs '!B12+'Start Up Costs '!B13+'Start Up Costs '!B14+'Start Up Costs '!B15)/12</f>
        <v>20.833333333333332</v>
      </c>
      <c r="C21" s="63">
        <f>('Start Up Costs '!B11+'Start Up Costs '!B12+'Start Up Costs '!B13+'Start Up Costs '!B14+'Start Up Costs '!B15)/12</f>
        <v>20.833333333333332</v>
      </c>
      <c r="D21" s="63">
        <f>('Start Up Costs '!B11+'Start Up Costs '!B12+'Start Up Costs '!B13+'Start Up Costs '!B14+'Start Up Costs '!B15)/12</f>
        <v>20.833333333333332</v>
      </c>
      <c r="E21" s="63">
        <f>('Start Up Costs '!B11+'Start Up Costs '!B12+'Start Up Costs '!B13+'Start Up Costs '!B14+'Start Up Costs '!B15)/12</f>
        <v>20.833333333333332</v>
      </c>
      <c r="F21" s="63">
        <f>('Start Up Costs '!B11+'Start Up Costs '!B12+'Start Up Costs '!B13+'Start Up Costs '!B14+'Start Up Costs '!B15)/12</f>
        <v>20.833333333333332</v>
      </c>
      <c r="G21" s="63">
        <f>('Start Up Costs '!B11+'Start Up Costs '!B12+'Start Up Costs '!B13+'Start Up Costs '!B14+'Start Up Costs '!B15)/12</f>
        <v>20.833333333333332</v>
      </c>
      <c r="H21" s="63">
        <f>('Start Up Costs '!B11+'Start Up Costs '!B12+'Start Up Costs '!B13+'Start Up Costs '!B14+'Start Up Costs '!B15)/12</f>
        <v>20.833333333333332</v>
      </c>
      <c r="I21" s="63">
        <f>('Start Up Costs '!B11+'Start Up Costs '!B12+'Start Up Costs '!B13+'Start Up Costs '!B14+'Start Up Costs '!B15)/12</f>
        <v>20.833333333333332</v>
      </c>
      <c r="J21" s="63">
        <f>('Start Up Costs '!B11+'Start Up Costs '!B12+'Start Up Costs '!B13+'Start Up Costs '!B14+'Start Up Costs '!B15)/12</f>
        <v>20.833333333333332</v>
      </c>
      <c r="K21" s="63">
        <f>('Start Up Costs '!B11+'Start Up Costs '!B12+'Start Up Costs '!B13+'Start Up Costs '!B14+'Start Up Costs '!B15)/12</f>
        <v>20.833333333333332</v>
      </c>
      <c r="L21" s="63">
        <f>('Start Up Costs '!B11+'Start Up Costs '!B12+'Start Up Costs '!B13+'Start Up Costs '!B14+'Start Up Costs '!B15)/12</f>
        <v>20.833333333333332</v>
      </c>
      <c r="M21" s="63">
        <f>('Start Up Costs '!B11+'Start Up Costs '!B12+'Start Up Costs '!B13+'Start Up Costs '!B14+'Start Up Costs '!B15)/12</f>
        <v>20.833333333333332</v>
      </c>
      <c r="N21" s="73">
        <f t="shared" si="5"/>
        <v>250.00000000000003</v>
      </c>
      <c r="P21" s="34" t="s">
        <v>101</v>
      </c>
      <c r="Q21" s="54">
        <v>25</v>
      </c>
    </row>
    <row r="22" spans="1:17" x14ac:dyDescent="0.25">
      <c r="A22" s="69" t="s">
        <v>41</v>
      </c>
      <c r="B22" s="59">
        <f>SUM(B13:B21)</f>
        <v>536</v>
      </c>
      <c r="C22" s="59">
        <f>SUM(C13:C21)</f>
        <v>335</v>
      </c>
      <c r="D22" s="59">
        <f t="shared" ref="D22:N22" si="10">SUM(D13:D21)</f>
        <v>234.5</v>
      </c>
      <c r="E22" s="59">
        <f t="shared" si="10"/>
        <v>234.5</v>
      </c>
      <c r="F22" s="59">
        <f t="shared" si="10"/>
        <v>234.5</v>
      </c>
      <c r="G22" s="59">
        <f t="shared" si="10"/>
        <v>234.5</v>
      </c>
      <c r="H22" s="59">
        <f t="shared" si="10"/>
        <v>234.5</v>
      </c>
      <c r="I22" s="59">
        <f t="shared" si="10"/>
        <v>234.5</v>
      </c>
      <c r="J22" s="59">
        <f t="shared" si="10"/>
        <v>234.5</v>
      </c>
      <c r="K22" s="59">
        <f t="shared" si="10"/>
        <v>234.5</v>
      </c>
      <c r="L22" s="59">
        <f t="shared" si="10"/>
        <v>402</v>
      </c>
      <c r="M22" s="59">
        <f t="shared" si="10"/>
        <v>582</v>
      </c>
      <c r="N22" s="70">
        <f t="shared" si="10"/>
        <v>3731</v>
      </c>
      <c r="P22" s="39" t="s">
        <v>105</v>
      </c>
      <c r="Q22" s="54"/>
    </row>
    <row r="23" spans="1:17" x14ac:dyDescent="0.25">
      <c r="A23" s="75"/>
      <c r="N23" s="71"/>
      <c r="P23" s="34" t="s">
        <v>106</v>
      </c>
      <c r="Q23" s="54">
        <v>150</v>
      </c>
    </row>
    <row r="24" spans="1:17" x14ac:dyDescent="0.25">
      <c r="A24" s="75" t="s">
        <v>53</v>
      </c>
      <c r="B24" s="21">
        <f>B7-B8</f>
        <v>1144</v>
      </c>
      <c r="C24" s="21">
        <f t="shared" ref="C24:M24" si="11">C10-C22</f>
        <v>101</v>
      </c>
      <c r="D24" s="21">
        <f t="shared" si="11"/>
        <v>-129.5</v>
      </c>
      <c r="E24" s="21">
        <f t="shared" si="11"/>
        <v>-129.5</v>
      </c>
      <c r="F24" s="21">
        <f t="shared" si="11"/>
        <v>-129.5</v>
      </c>
      <c r="G24" s="21">
        <f t="shared" si="11"/>
        <v>-129.5</v>
      </c>
      <c r="H24" s="21">
        <f t="shared" si="11"/>
        <v>-57.5</v>
      </c>
      <c r="I24" s="21">
        <f t="shared" si="11"/>
        <v>-129.5</v>
      </c>
      <c r="J24" s="21">
        <f t="shared" si="11"/>
        <v>-129.5</v>
      </c>
      <c r="K24" s="21">
        <f t="shared" si="11"/>
        <v>-129.5</v>
      </c>
      <c r="L24" s="21">
        <f>L10-L22</f>
        <v>306</v>
      </c>
      <c r="M24" s="21">
        <f t="shared" si="11"/>
        <v>1062</v>
      </c>
      <c r="N24" s="73">
        <f>N7-(N8+N22)</f>
        <v>1113</v>
      </c>
      <c r="P24" s="39" t="s">
        <v>33</v>
      </c>
      <c r="Q24" s="55">
        <v>300</v>
      </c>
    </row>
    <row r="25" spans="1:17" x14ac:dyDescent="0.25">
      <c r="A25" s="64" t="s">
        <v>42</v>
      </c>
      <c r="B25" s="21">
        <f>B24*0.15</f>
        <v>171.6</v>
      </c>
      <c r="C25" s="21">
        <f t="shared" ref="C25:M25" si="12">C24*0.15</f>
        <v>15.149999999999999</v>
      </c>
      <c r="D25" s="21">
        <f t="shared" si="12"/>
        <v>-19.425000000000001</v>
      </c>
      <c r="E25" s="21">
        <f t="shared" si="12"/>
        <v>-19.425000000000001</v>
      </c>
      <c r="F25" s="21">
        <f t="shared" si="12"/>
        <v>-19.425000000000001</v>
      </c>
      <c r="G25" s="21">
        <f t="shared" si="12"/>
        <v>-19.425000000000001</v>
      </c>
      <c r="H25" s="21">
        <f t="shared" si="12"/>
        <v>-8.625</v>
      </c>
      <c r="I25" s="21">
        <f t="shared" si="12"/>
        <v>-19.425000000000001</v>
      </c>
      <c r="J25" s="21">
        <f t="shared" si="12"/>
        <v>-19.425000000000001</v>
      </c>
      <c r="K25" s="21">
        <f t="shared" si="12"/>
        <v>-19.425000000000001</v>
      </c>
      <c r="L25" s="21">
        <f t="shared" si="12"/>
        <v>45.9</v>
      </c>
      <c r="M25" s="21">
        <f t="shared" si="12"/>
        <v>159.29999999999998</v>
      </c>
      <c r="N25" s="73">
        <f>N24*0.15</f>
        <v>166.95</v>
      </c>
      <c r="P25" s="34" t="s">
        <v>109</v>
      </c>
      <c r="Q25" s="55">
        <v>30</v>
      </c>
    </row>
    <row r="26" spans="1:17" ht="16.5" thickBot="1" x14ac:dyDescent="0.3">
      <c r="A26" s="76" t="s">
        <v>43</v>
      </c>
      <c r="B26" s="77">
        <f>B24-B25</f>
        <v>972.4</v>
      </c>
      <c r="C26" s="77">
        <f>C24-C25</f>
        <v>85.85</v>
      </c>
      <c r="D26" s="77">
        <f>D24-D25</f>
        <v>-110.075</v>
      </c>
      <c r="E26" s="77">
        <f>E24-E25</f>
        <v>-110.075</v>
      </c>
      <c r="F26" s="77">
        <f t="shared" ref="F26:M26" si="13">F24-F25</f>
        <v>-110.075</v>
      </c>
      <c r="G26" s="77">
        <f t="shared" si="13"/>
        <v>-110.075</v>
      </c>
      <c r="H26" s="77">
        <f t="shared" si="13"/>
        <v>-48.875</v>
      </c>
      <c r="I26" s="77">
        <f t="shared" si="13"/>
        <v>-110.075</v>
      </c>
      <c r="J26" s="77">
        <f t="shared" si="13"/>
        <v>-110.075</v>
      </c>
      <c r="K26" s="77">
        <f t="shared" si="13"/>
        <v>-110.075</v>
      </c>
      <c r="L26" s="77">
        <f t="shared" si="13"/>
        <v>260.10000000000002</v>
      </c>
      <c r="M26" s="77">
        <f t="shared" si="13"/>
        <v>902.7</v>
      </c>
      <c r="N26" s="78">
        <f>N24-N25</f>
        <v>946.05</v>
      </c>
      <c r="P26" s="56" t="s">
        <v>110</v>
      </c>
      <c r="Q26" s="57">
        <v>400</v>
      </c>
    </row>
    <row r="28" spans="1:17" x14ac:dyDescent="0.25">
      <c r="A28" s="23" t="s">
        <v>115</v>
      </c>
      <c r="B28" s="24">
        <f>N24/N7</f>
        <v>0.16956124314442414</v>
      </c>
    </row>
    <row r="29" spans="1:17" x14ac:dyDescent="0.25">
      <c r="A29" s="1"/>
      <c r="B29" s="25"/>
    </row>
    <row r="30" spans="1:17" x14ac:dyDescent="0.25">
      <c r="A30" s="1"/>
      <c r="B30" s="25"/>
    </row>
    <row r="31" spans="1:17" x14ac:dyDescent="0.25">
      <c r="A31" s="1"/>
      <c r="B31" s="25"/>
    </row>
    <row r="32" spans="1:17" ht="17.25" x14ac:dyDescent="0.25">
      <c r="B32" s="6" t="s">
        <v>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25">
      <c r="B34" s="8" t="s">
        <v>46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25">
      <c r="B35" s="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25">
      <c r="B36" s="10" t="s">
        <v>49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25">
      <c r="B37" s="10" t="s">
        <v>44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25">
      <c r="B38" s="10" t="s">
        <v>51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25">
      <c r="B39" s="10" t="s">
        <v>52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25">
      <c r="B40" s="10" t="s">
        <v>47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ht="17.25" x14ac:dyDescent="0.25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ht="17.25" x14ac:dyDescent="0.25">
      <c r="B42" s="6" t="s">
        <v>48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B288-7ADB-49EA-8F8A-9C5D199714C0}">
  <dimension ref="A1:Q40"/>
  <sheetViews>
    <sheetView topLeftCell="A3" zoomScale="68" zoomScaleNormal="68" workbookViewId="0">
      <selection sqref="A1:N1"/>
    </sheetView>
  </sheetViews>
  <sheetFormatPr defaultColWidth="11" defaultRowHeight="15.75" x14ac:dyDescent="0.25"/>
  <cols>
    <col min="1" max="1" width="36.875" customWidth="1"/>
    <col min="2" max="2" width="11" customWidth="1"/>
    <col min="14" max="14" width="12" bestFit="1" customWidth="1"/>
  </cols>
  <sheetData>
    <row r="1" spans="1:15" ht="30.75" customHeight="1" x14ac:dyDescent="0.35">
      <c r="A1" s="134" t="s">
        <v>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5" x14ac:dyDescent="0.25">
      <c r="A2" s="79"/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s="80" t="s">
        <v>21</v>
      </c>
    </row>
    <row r="3" spans="1:15" x14ac:dyDescent="0.25">
      <c r="A3" s="81" t="s">
        <v>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82"/>
    </row>
    <row r="4" spans="1:15" x14ac:dyDescent="0.25">
      <c r="A4" s="79" t="s">
        <v>114</v>
      </c>
      <c r="B4" s="35">
        <f>95*10</f>
        <v>950</v>
      </c>
      <c r="C4" s="35">
        <f>95*8</f>
        <v>760</v>
      </c>
      <c r="D4" s="35">
        <f>95*3</f>
        <v>285</v>
      </c>
      <c r="E4" s="35">
        <f t="shared" ref="E4:J4" si="0">95*3</f>
        <v>285</v>
      </c>
      <c r="F4" s="35">
        <f t="shared" si="0"/>
        <v>285</v>
      </c>
      <c r="G4" s="35">
        <f t="shared" si="0"/>
        <v>285</v>
      </c>
      <c r="H4" s="35">
        <f t="shared" si="0"/>
        <v>285</v>
      </c>
      <c r="I4" s="35">
        <f t="shared" si="0"/>
        <v>285</v>
      </c>
      <c r="J4" s="35">
        <f t="shared" si="0"/>
        <v>285</v>
      </c>
      <c r="K4" s="35">
        <f>95*5</f>
        <v>475</v>
      </c>
      <c r="L4" s="35">
        <f>95*15</f>
        <v>1425</v>
      </c>
      <c r="M4" s="35">
        <f>95*20</f>
        <v>1900</v>
      </c>
      <c r="N4" s="83">
        <f>SUM(B4:M4)</f>
        <v>7505</v>
      </c>
    </row>
    <row r="5" spans="1:15" x14ac:dyDescent="0.25">
      <c r="A5" s="79" t="s">
        <v>111</v>
      </c>
      <c r="B5" s="35">
        <f>50*10</f>
        <v>500</v>
      </c>
      <c r="C5" s="35">
        <f>50*4</f>
        <v>200</v>
      </c>
      <c r="D5" s="35">
        <f>50*2</f>
        <v>100</v>
      </c>
      <c r="E5" s="35">
        <f>50*2</f>
        <v>100</v>
      </c>
      <c r="F5" s="35">
        <f>50*2</f>
        <v>100</v>
      </c>
      <c r="G5" s="35">
        <f>50*1</f>
        <v>50</v>
      </c>
      <c r="H5" s="35">
        <f>50*1</f>
        <v>50</v>
      </c>
      <c r="I5" s="35">
        <f>50*1</f>
        <v>50</v>
      </c>
      <c r="J5" s="35">
        <f>50*1</f>
        <v>50</v>
      </c>
      <c r="K5" s="35">
        <f>50*2</f>
        <v>100</v>
      </c>
      <c r="L5" s="35">
        <f>50*7</f>
        <v>350</v>
      </c>
      <c r="M5" s="35">
        <f>50*20</f>
        <v>1000</v>
      </c>
      <c r="N5" s="83">
        <f t="shared" ref="N5" si="1">SUM(B5:M5)</f>
        <v>2650</v>
      </c>
    </row>
    <row r="6" spans="1:15" x14ac:dyDescent="0.25">
      <c r="A6" s="79" t="s">
        <v>112</v>
      </c>
      <c r="B6" s="35">
        <f>B16*8</f>
        <v>288</v>
      </c>
      <c r="C6" s="35">
        <f>C16*5</f>
        <v>180</v>
      </c>
      <c r="D6" s="35">
        <f>D16*0</f>
        <v>0</v>
      </c>
      <c r="E6" s="35">
        <f>E16*0</f>
        <v>0</v>
      </c>
      <c r="F6" s="35">
        <f>F16*0</f>
        <v>0</v>
      </c>
      <c r="G6" s="35">
        <f>G16*0</f>
        <v>0</v>
      </c>
      <c r="H6" s="35">
        <f>H16*3</f>
        <v>108</v>
      </c>
      <c r="I6" s="35">
        <f>I16*0</f>
        <v>0</v>
      </c>
      <c r="J6" s="35">
        <f>J16*0</f>
        <v>0</v>
      </c>
      <c r="K6" s="35">
        <f>K16*0</f>
        <v>0</v>
      </c>
      <c r="L6" s="35">
        <f>L16*3</f>
        <v>108</v>
      </c>
      <c r="M6" s="35">
        <f>M16*8</f>
        <v>288</v>
      </c>
      <c r="N6" s="83">
        <f>SUM(B6:M6)</f>
        <v>972</v>
      </c>
    </row>
    <row r="7" spans="1:15" x14ac:dyDescent="0.25">
      <c r="A7" s="84" t="s">
        <v>54</v>
      </c>
      <c r="B7" s="59">
        <f>SUM(B4:B6)</f>
        <v>1738</v>
      </c>
      <c r="C7" s="59">
        <f t="shared" ref="C7:L7" si="2">SUM(C4:C6)</f>
        <v>1140</v>
      </c>
      <c r="D7" s="59">
        <f t="shared" si="2"/>
        <v>385</v>
      </c>
      <c r="E7" s="59">
        <f t="shared" si="2"/>
        <v>385</v>
      </c>
      <c r="F7" s="59">
        <f t="shared" si="2"/>
        <v>385</v>
      </c>
      <c r="G7" s="59">
        <f t="shared" si="2"/>
        <v>335</v>
      </c>
      <c r="H7" s="59">
        <f t="shared" si="2"/>
        <v>443</v>
      </c>
      <c r="I7" s="59">
        <f t="shared" si="2"/>
        <v>335</v>
      </c>
      <c r="J7" s="59">
        <f t="shared" si="2"/>
        <v>335</v>
      </c>
      <c r="K7" s="59">
        <f>SUM(K4:K6)</f>
        <v>575</v>
      </c>
      <c r="L7" s="59">
        <f t="shared" si="2"/>
        <v>1883</v>
      </c>
      <c r="M7" s="59">
        <f>SUM(M4:M6)</f>
        <v>3188</v>
      </c>
      <c r="N7" s="85">
        <f>SUM(N4:N6)</f>
        <v>11127</v>
      </c>
      <c r="O7" s="21"/>
    </row>
    <row r="8" spans="1:15" x14ac:dyDescent="0.25">
      <c r="A8" s="84" t="s">
        <v>50</v>
      </c>
      <c r="B8" s="40">
        <f>('Start Up Costs '!B19/5)*10</f>
        <v>400</v>
      </c>
      <c r="C8" s="40">
        <f>('Start Up Costs '!B19/5)*8</f>
        <v>320</v>
      </c>
      <c r="D8" s="40">
        <f>('Start Up Costs '!B19/5)*3</f>
        <v>120</v>
      </c>
      <c r="E8" s="40">
        <f>('Start Up Costs '!B19/5)*3</f>
        <v>120</v>
      </c>
      <c r="F8" s="40">
        <f>('Start Up Costs '!B19/5)*3</f>
        <v>120</v>
      </c>
      <c r="G8" s="40">
        <f>('Start Up Costs '!B19/5)*3</f>
        <v>120</v>
      </c>
      <c r="H8" s="40">
        <f>('Start Up Costs '!B19/5)*3</f>
        <v>120</v>
      </c>
      <c r="I8" s="40">
        <f>('Start Up Costs '!B19/5)*3</f>
        <v>120</v>
      </c>
      <c r="J8" s="40">
        <f>('Start Up Costs '!B19/5)*3</f>
        <v>120</v>
      </c>
      <c r="K8" s="40">
        <f>('Start Up Costs '!B19/5)*5</f>
        <v>200</v>
      </c>
      <c r="L8" s="40">
        <f>('Start Up Costs '!B19/5)*15</f>
        <v>600</v>
      </c>
      <c r="M8" s="40">
        <f>('Start Up Costs '!B19/5)*20</f>
        <v>800</v>
      </c>
      <c r="N8" s="85">
        <f>B8+C8+D8+E8+F8+G8+H8+I8+J8+K8+L8+M8</f>
        <v>3160</v>
      </c>
    </row>
    <row r="9" spans="1:15" x14ac:dyDescent="0.25">
      <c r="A9" s="79"/>
      <c r="N9" s="86"/>
    </row>
    <row r="10" spans="1:15" x14ac:dyDescent="0.25">
      <c r="A10" s="84" t="s">
        <v>56</v>
      </c>
      <c r="B10" s="60">
        <f>B7-B8</f>
        <v>1338</v>
      </c>
      <c r="C10" s="60">
        <f t="shared" ref="C10:L10" si="3">C7-C8</f>
        <v>820</v>
      </c>
      <c r="D10" s="60">
        <f t="shared" si="3"/>
        <v>265</v>
      </c>
      <c r="E10" s="60">
        <f>E7-E8</f>
        <v>265</v>
      </c>
      <c r="F10" s="60">
        <f t="shared" si="3"/>
        <v>265</v>
      </c>
      <c r="G10" s="60">
        <f t="shared" si="3"/>
        <v>215</v>
      </c>
      <c r="H10" s="60">
        <f t="shared" si="3"/>
        <v>323</v>
      </c>
      <c r="I10" s="60">
        <f t="shared" si="3"/>
        <v>215</v>
      </c>
      <c r="J10" s="60">
        <f t="shared" si="3"/>
        <v>215</v>
      </c>
      <c r="K10" s="60">
        <f t="shared" si="3"/>
        <v>375</v>
      </c>
      <c r="L10" s="60">
        <f t="shared" si="3"/>
        <v>1283</v>
      </c>
      <c r="M10" s="60">
        <f>M7-M8</f>
        <v>2388</v>
      </c>
      <c r="N10" s="85">
        <f>N7-N8</f>
        <v>7967</v>
      </c>
    </row>
    <row r="11" spans="1:15" x14ac:dyDescent="0.25">
      <c r="A11" s="79"/>
      <c r="N11" s="86"/>
    </row>
    <row r="12" spans="1:15" x14ac:dyDescent="0.25">
      <c r="A12" s="81" t="s">
        <v>55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87"/>
    </row>
    <row r="13" spans="1:15" x14ac:dyDescent="0.25">
      <c r="A13" s="79" t="s">
        <v>37</v>
      </c>
      <c r="B13" s="35">
        <f>19*15</f>
        <v>285</v>
      </c>
      <c r="C13" s="35">
        <f>19*10</f>
        <v>190</v>
      </c>
      <c r="D13" s="35">
        <f>19*4</f>
        <v>76</v>
      </c>
      <c r="E13" s="35">
        <f>19*4</f>
        <v>76</v>
      </c>
      <c r="F13" s="35">
        <f>19*4</f>
        <v>76</v>
      </c>
      <c r="G13" s="35">
        <f>19*3.5</f>
        <v>66.5</v>
      </c>
      <c r="H13" s="35">
        <f>19*3.5</f>
        <v>66.5</v>
      </c>
      <c r="I13" s="35">
        <f>19*3.5</f>
        <v>66.5</v>
      </c>
      <c r="J13" s="35">
        <f>19*3.5</f>
        <v>66.5</v>
      </c>
      <c r="K13" s="35">
        <f>19*6</f>
        <v>114</v>
      </c>
      <c r="L13" s="35">
        <f>19*18.5</f>
        <v>351.5</v>
      </c>
      <c r="M13" s="35">
        <f>19*30</f>
        <v>570</v>
      </c>
      <c r="N13" s="88">
        <f t="shared" ref="N13:N19" si="4">SUM(B13:M13)</f>
        <v>2004.5</v>
      </c>
    </row>
    <row r="14" spans="1:15" x14ac:dyDescent="0.25">
      <c r="A14" s="79" t="s">
        <v>38</v>
      </c>
      <c r="B14" s="61">
        <f>'Start Up Costs '!B27/12</f>
        <v>12.5</v>
      </c>
      <c r="C14" s="61">
        <f>'Start Up Costs '!B27/12</f>
        <v>12.5</v>
      </c>
      <c r="D14" s="61">
        <f>'Start Up Costs '!B27/12</f>
        <v>12.5</v>
      </c>
      <c r="E14" s="61">
        <f>'Start Up Costs '!B27/12</f>
        <v>12.5</v>
      </c>
      <c r="F14" s="61">
        <f>'Start Up Costs '!B27/12</f>
        <v>12.5</v>
      </c>
      <c r="G14" s="61">
        <f>'Start Up Costs '!B27/12</f>
        <v>12.5</v>
      </c>
      <c r="H14" s="61">
        <f>'Start Up Costs '!B27/12</f>
        <v>12.5</v>
      </c>
      <c r="I14" s="61">
        <f>'Start Up Costs '!B27/12</f>
        <v>12.5</v>
      </c>
      <c r="J14" s="61">
        <f>'Start Up Costs '!B27/12</f>
        <v>12.5</v>
      </c>
      <c r="K14" s="61">
        <f>'Start Up Costs '!B27/12</f>
        <v>12.5</v>
      </c>
      <c r="L14" s="61">
        <f>'Start Up Costs '!B27/12</f>
        <v>12.5</v>
      </c>
      <c r="M14" s="61">
        <f>'Start Up Costs '!B27/12</f>
        <v>12.5</v>
      </c>
      <c r="N14" s="88">
        <f t="shared" si="4"/>
        <v>150</v>
      </c>
    </row>
    <row r="15" spans="1:15" x14ac:dyDescent="0.25">
      <c r="A15" s="79" t="s">
        <v>39</v>
      </c>
      <c r="B15" s="35">
        <f>'Start Up Costs '!B22+'Start Up Costs '!B21</f>
        <v>45</v>
      </c>
      <c r="C15" s="35">
        <f>'Start Up Costs '!B22+'Start Up Costs '!B21</f>
        <v>45</v>
      </c>
      <c r="D15" s="35">
        <f>'Start Up Costs '!B22+'Start Up Costs '!B21</f>
        <v>45</v>
      </c>
      <c r="E15" s="35">
        <f>'Start Up Costs '!B22+'Start Up Costs '!B21</f>
        <v>45</v>
      </c>
      <c r="F15" s="35">
        <f>'Start Up Costs '!B22+'Start Up Costs '!B21</f>
        <v>45</v>
      </c>
      <c r="G15" s="35">
        <f>'Start Up Costs '!B22+'Start Up Costs '!B21</f>
        <v>45</v>
      </c>
      <c r="H15" s="35">
        <f>'Start Up Costs '!B22+'Start Up Costs '!B21</f>
        <v>45</v>
      </c>
      <c r="I15" s="35">
        <f>'Start Up Costs '!B22+'Start Up Costs '!B21</f>
        <v>45</v>
      </c>
      <c r="J15" s="35">
        <f>'Start Up Costs '!B22+'Start Up Costs '!B21</f>
        <v>45</v>
      </c>
      <c r="K15" s="35">
        <f>'Start Up Costs '!B22+'Start Up Costs '!B21</f>
        <v>45</v>
      </c>
      <c r="L15" s="35">
        <f>'Start Up Costs '!B22+'Start Up Costs '!B21</f>
        <v>45</v>
      </c>
      <c r="M15" s="35">
        <f>'Start Up Costs '!B22+'Start Up Costs '!B21</f>
        <v>45</v>
      </c>
      <c r="N15" s="88">
        <f t="shared" si="4"/>
        <v>540</v>
      </c>
    </row>
    <row r="16" spans="1:15" x14ac:dyDescent="0.25">
      <c r="A16" s="79" t="s">
        <v>116</v>
      </c>
      <c r="B16" s="35">
        <f>120*0.3</f>
        <v>36</v>
      </c>
      <c r="C16" s="35">
        <f t="shared" ref="C16:M16" si="5">120*0.3</f>
        <v>36</v>
      </c>
      <c r="D16" s="35">
        <f t="shared" si="5"/>
        <v>36</v>
      </c>
      <c r="E16" s="35">
        <f t="shared" si="5"/>
        <v>36</v>
      </c>
      <c r="F16" s="35">
        <f t="shared" si="5"/>
        <v>36</v>
      </c>
      <c r="G16" s="35">
        <f t="shared" si="5"/>
        <v>36</v>
      </c>
      <c r="H16" s="35">
        <f t="shared" si="5"/>
        <v>36</v>
      </c>
      <c r="I16" s="35">
        <f t="shared" si="5"/>
        <v>36</v>
      </c>
      <c r="J16" s="35">
        <f t="shared" si="5"/>
        <v>36</v>
      </c>
      <c r="K16" s="35">
        <f t="shared" si="5"/>
        <v>36</v>
      </c>
      <c r="L16" s="35">
        <f t="shared" si="5"/>
        <v>36</v>
      </c>
      <c r="M16" s="35">
        <f t="shared" si="5"/>
        <v>36</v>
      </c>
      <c r="N16" s="88">
        <f t="shared" si="4"/>
        <v>432</v>
      </c>
    </row>
    <row r="17" spans="1:17" x14ac:dyDescent="0.25">
      <c r="A17" s="79" t="s">
        <v>40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88">
        <f t="shared" si="4"/>
        <v>0</v>
      </c>
    </row>
    <row r="18" spans="1:17" ht="15" customHeight="1" x14ac:dyDescent="0.25">
      <c r="A18" s="79" t="s">
        <v>113</v>
      </c>
      <c r="B18" s="62">
        <f>5*20</f>
        <v>100</v>
      </c>
      <c r="C18" s="62">
        <f>5*12</f>
        <v>60</v>
      </c>
      <c r="D18" s="62">
        <f t="shared" ref="D18:J18" si="6">5*5</f>
        <v>25</v>
      </c>
      <c r="E18" s="62">
        <f t="shared" si="6"/>
        <v>25</v>
      </c>
      <c r="F18" s="62">
        <f t="shared" si="6"/>
        <v>25</v>
      </c>
      <c r="G18" s="62">
        <f t="shared" si="6"/>
        <v>25</v>
      </c>
      <c r="H18" s="62">
        <f t="shared" si="6"/>
        <v>25</v>
      </c>
      <c r="I18" s="62">
        <f t="shared" si="6"/>
        <v>25</v>
      </c>
      <c r="J18" s="62">
        <f t="shared" si="6"/>
        <v>25</v>
      </c>
      <c r="K18" s="62">
        <f>5*7</f>
        <v>35</v>
      </c>
      <c r="L18" s="62">
        <f>5*24</f>
        <v>120</v>
      </c>
      <c r="M18" s="62">
        <f>5*40</f>
        <v>200</v>
      </c>
      <c r="N18" s="88">
        <f t="shared" si="4"/>
        <v>690</v>
      </c>
    </row>
    <row r="19" spans="1:17" ht="15" customHeight="1" x14ac:dyDescent="0.25">
      <c r="A19" s="89" t="s">
        <v>117</v>
      </c>
      <c r="B19" s="63">
        <v>45</v>
      </c>
      <c r="C19" s="63">
        <v>45</v>
      </c>
      <c r="D19" s="63">
        <v>45</v>
      </c>
      <c r="E19" s="63">
        <v>45</v>
      </c>
      <c r="F19" s="63">
        <v>45</v>
      </c>
      <c r="G19" s="63">
        <v>45</v>
      </c>
      <c r="H19" s="63">
        <v>45</v>
      </c>
      <c r="I19" s="63">
        <v>45</v>
      </c>
      <c r="J19" s="63">
        <v>45</v>
      </c>
      <c r="K19" s="63">
        <v>45</v>
      </c>
      <c r="L19" s="63">
        <v>45</v>
      </c>
      <c r="M19" s="63">
        <v>45</v>
      </c>
      <c r="N19" s="88">
        <f t="shared" si="4"/>
        <v>540</v>
      </c>
    </row>
    <row r="20" spans="1:17" x14ac:dyDescent="0.25">
      <c r="A20" s="84" t="s">
        <v>41</v>
      </c>
      <c r="B20" s="59">
        <f t="shared" ref="B20:M20" si="7">B13+B14+B15+B16+B17+B18+B19</f>
        <v>523.5</v>
      </c>
      <c r="C20" s="59">
        <f t="shared" si="7"/>
        <v>388.5</v>
      </c>
      <c r="D20" s="59">
        <f t="shared" si="7"/>
        <v>239.5</v>
      </c>
      <c r="E20" s="59">
        <f t="shared" si="7"/>
        <v>239.5</v>
      </c>
      <c r="F20" s="59">
        <f t="shared" si="7"/>
        <v>239.5</v>
      </c>
      <c r="G20" s="59">
        <f t="shared" si="7"/>
        <v>230</v>
      </c>
      <c r="H20" s="59">
        <f t="shared" si="7"/>
        <v>230</v>
      </c>
      <c r="I20" s="59">
        <f t="shared" si="7"/>
        <v>230</v>
      </c>
      <c r="J20" s="59">
        <f t="shared" si="7"/>
        <v>230</v>
      </c>
      <c r="K20" s="59">
        <f t="shared" si="7"/>
        <v>287.5</v>
      </c>
      <c r="L20" s="59">
        <f t="shared" si="7"/>
        <v>610</v>
      </c>
      <c r="M20" s="59">
        <f t="shared" si="7"/>
        <v>908.5</v>
      </c>
      <c r="N20" s="85">
        <f>SUM(N13:N19)</f>
        <v>4356.5</v>
      </c>
    </row>
    <row r="21" spans="1:17" x14ac:dyDescent="0.25">
      <c r="A21" s="90"/>
      <c r="N21" s="86"/>
    </row>
    <row r="22" spans="1:17" x14ac:dyDescent="0.25">
      <c r="A22" s="90" t="s">
        <v>53</v>
      </c>
      <c r="B22" s="21">
        <f>B7-B8</f>
        <v>1338</v>
      </c>
      <c r="C22" s="21">
        <f t="shared" ref="C22:M22" si="8">C10-C20</f>
        <v>431.5</v>
      </c>
      <c r="D22" s="21">
        <f t="shared" si="8"/>
        <v>25.5</v>
      </c>
      <c r="E22" s="21">
        <f t="shared" si="8"/>
        <v>25.5</v>
      </c>
      <c r="F22" s="21">
        <f t="shared" si="8"/>
        <v>25.5</v>
      </c>
      <c r="G22" s="21">
        <f t="shared" si="8"/>
        <v>-15</v>
      </c>
      <c r="H22" s="21">
        <f t="shared" si="8"/>
        <v>93</v>
      </c>
      <c r="I22" s="21">
        <f t="shared" si="8"/>
        <v>-15</v>
      </c>
      <c r="J22" s="21">
        <f t="shared" si="8"/>
        <v>-15</v>
      </c>
      <c r="K22" s="21">
        <f t="shared" si="8"/>
        <v>87.5</v>
      </c>
      <c r="L22" s="21">
        <f t="shared" si="8"/>
        <v>673</v>
      </c>
      <c r="M22" s="21">
        <f t="shared" si="8"/>
        <v>1479.5</v>
      </c>
      <c r="N22" s="88">
        <f>N7-(N8+N20)</f>
        <v>3610.5</v>
      </c>
    </row>
    <row r="23" spans="1:17" x14ac:dyDescent="0.25">
      <c r="A23" s="79" t="s">
        <v>42</v>
      </c>
      <c r="B23" s="21">
        <f>B22*0.15</f>
        <v>200.7</v>
      </c>
      <c r="C23" s="21">
        <f t="shared" ref="C23:M23" si="9">C22*0.15</f>
        <v>64.724999999999994</v>
      </c>
      <c r="D23" s="21">
        <f t="shared" si="9"/>
        <v>3.8249999999999997</v>
      </c>
      <c r="E23" s="21">
        <f t="shared" si="9"/>
        <v>3.8249999999999997</v>
      </c>
      <c r="F23" s="21">
        <f t="shared" si="9"/>
        <v>3.8249999999999997</v>
      </c>
      <c r="G23" s="21">
        <f t="shared" si="9"/>
        <v>-2.25</v>
      </c>
      <c r="H23" s="21">
        <f t="shared" si="9"/>
        <v>13.95</v>
      </c>
      <c r="I23" s="21">
        <f t="shared" si="9"/>
        <v>-2.25</v>
      </c>
      <c r="J23" s="21">
        <f t="shared" si="9"/>
        <v>-2.25</v>
      </c>
      <c r="K23" s="21">
        <f t="shared" si="9"/>
        <v>13.125</v>
      </c>
      <c r="L23" s="21">
        <f t="shared" si="9"/>
        <v>100.95</v>
      </c>
      <c r="M23" s="21">
        <f t="shared" si="9"/>
        <v>221.92499999999998</v>
      </c>
      <c r="N23" s="88">
        <f>N22*0.15</f>
        <v>541.57499999999993</v>
      </c>
    </row>
    <row r="24" spans="1:17" ht="16.5" thickBot="1" x14ac:dyDescent="0.3">
      <c r="A24" s="91" t="s">
        <v>43</v>
      </c>
      <c r="B24" s="92">
        <f>B22-B23</f>
        <v>1137.3</v>
      </c>
      <c r="C24" s="92">
        <f>C22-C23</f>
        <v>366.77499999999998</v>
      </c>
      <c r="D24" s="92">
        <f>D22-D23</f>
        <v>21.675000000000001</v>
      </c>
      <c r="E24" s="92">
        <f>E22-E23</f>
        <v>21.675000000000001</v>
      </c>
      <c r="F24" s="92">
        <f t="shared" ref="F24:M24" si="10">F22-F23</f>
        <v>21.675000000000001</v>
      </c>
      <c r="G24" s="92">
        <f t="shared" si="10"/>
        <v>-12.75</v>
      </c>
      <c r="H24" s="92">
        <f t="shared" si="10"/>
        <v>79.05</v>
      </c>
      <c r="I24" s="92">
        <f t="shared" si="10"/>
        <v>-12.75</v>
      </c>
      <c r="J24" s="92">
        <f t="shared" si="10"/>
        <v>-12.75</v>
      </c>
      <c r="K24" s="92">
        <f t="shared" si="10"/>
        <v>74.375</v>
      </c>
      <c r="L24" s="92">
        <f t="shared" si="10"/>
        <v>572.04999999999995</v>
      </c>
      <c r="M24" s="92">
        <f t="shared" si="10"/>
        <v>1257.575</v>
      </c>
      <c r="N24" s="93">
        <f>N22-N23</f>
        <v>3068.9250000000002</v>
      </c>
    </row>
    <row r="26" spans="1:17" x14ac:dyDescent="0.25">
      <c r="A26" s="23" t="s">
        <v>115</v>
      </c>
      <c r="B26" s="24">
        <f>N22/N7</f>
        <v>0.32448099218118093</v>
      </c>
    </row>
    <row r="27" spans="1:17" x14ac:dyDescent="0.25">
      <c r="A27" s="1"/>
      <c r="B27" s="25"/>
    </row>
    <row r="28" spans="1:17" x14ac:dyDescent="0.25">
      <c r="A28" s="1"/>
      <c r="B28" s="25"/>
    </row>
    <row r="29" spans="1:17" x14ac:dyDescent="0.25">
      <c r="A29" s="1"/>
      <c r="B29" s="25"/>
    </row>
    <row r="30" spans="1:17" ht="17.25" x14ac:dyDescent="0.25">
      <c r="B30" s="6" t="s">
        <v>45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B32" s="8" t="s">
        <v>46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25">
      <c r="B34" s="10" t="s">
        <v>49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25">
      <c r="B35" s="10" t="s">
        <v>44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25">
      <c r="B36" s="10" t="s">
        <v>51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25">
      <c r="B37" s="10" t="s">
        <v>52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25">
      <c r="B38" s="10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ht="17.25" x14ac:dyDescent="0.25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ht="17.25" x14ac:dyDescent="0.25">
      <c r="B40" s="6" t="s">
        <v>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BE9A-078D-4F66-9F42-F01CBA25B7AC}">
  <dimension ref="A1:Q40"/>
  <sheetViews>
    <sheetView zoomScale="68" zoomScaleNormal="68" workbookViewId="0">
      <selection activeCell="G28" sqref="G28"/>
    </sheetView>
  </sheetViews>
  <sheetFormatPr defaultColWidth="11" defaultRowHeight="15.75" x14ac:dyDescent="0.25"/>
  <cols>
    <col min="1" max="1" width="36.875" customWidth="1"/>
    <col min="2" max="2" width="11" customWidth="1"/>
    <col min="14" max="14" width="12" bestFit="1" customWidth="1"/>
  </cols>
  <sheetData>
    <row r="1" spans="1:15" ht="34.5" customHeight="1" x14ac:dyDescent="0.35">
      <c r="A1" s="134" t="s">
        <v>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5" x14ac:dyDescent="0.25">
      <c r="A2" s="79"/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s="80" t="s">
        <v>21</v>
      </c>
    </row>
    <row r="3" spans="1:15" x14ac:dyDescent="0.25">
      <c r="A3" s="81" t="s">
        <v>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82"/>
    </row>
    <row r="4" spans="1:15" x14ac:dyDescent="0.25">
      <c r="A4" s="79" t="s">
        <v>114</v>
      </c>
      <c r="B4" s="35">
        <f>95*20</f>
        <v>1900</v>
      </c>
      <c r="C4" s="35">
        <f>95*15</f>
        <v>1425</v>
      </c>
      <c r="D4" s="35">
        <f>95*8</f>
        <v>760</v>
      </c>
      <c r="E4" s="35">
        <f t="shared" ref="E4:I4" si="0">95*3</f>
        <v>285</v>
      </c>
      <c r="F4" s="35">
        <f t="shared" si="0"/>
        <v>285</v>
      </c>
      <c r="G4" s="35">
        <f t="shared" si="0"/>
        <v>285</v>
      </c>
      <c r="H4" s="35">
        <f t="shared" si="0"/>
        <v>285</v>
      </c>
      <c r="I4" s="35">
        <f t="shared" si="0"/>
        <v>285</v>
      </c>
      <c r="J4" s="35">
        <f>95*5</f>
        <v>475</v>
      </c>
      <c r="K4" s="35">
        <f>95*10</f>
        <v>950</v>
      </c>
      <c r="L4" s="35">
        <f>95*30</f>
        <v>2850</v>
      </c>
      <c r="M4" s="35">
        <f>95*20</f>
        <v>1900</v>
      </c>
      <c r="N4" s="83">
        <f>SUM(B4:M4)</f>
        <v>11685</v>
      </c>
    </row>
    <row r="5" spans="1:15" x14ac:dyDescent="0.25">
      <c r="A5" s="79" t="s">
        <v>111</v>
      </c>
      <c r="B5" s="35">
        <f>50*15</f>
        <v>750</v>
      </c>
      <c r="C5" s="35">
        <f>50*10</f>
        <v>500</v>
      </c>
      <c r="D5" s="35">
        <f>50*4</f>
        <v>200</v>
      </c>
      <c r="E5" s="35">
        <f>50*2</f>
        <v>100</v>
      </c>
      <c r="F5" s="35">
        <f>50*2</f>
        <v>100</v>
      </c>
      <c r="G5" s="35">
        <f>50*1</f>
        <v>50</v>
      </c>
      <c r="H5" s="35">
        <f>50*1</f>
        <v>50</v>
      </c>
      <c r="I5" s="35">
        <f>50*1</f>
        <v>50</v>
      </c>
      <c r="J5" s="35">
        <f>50*5</f>
        <v>250</v>
      </c>
      <c r="K5" s="35">
        <f>50*8</f>
        <v>400</v>
      </c>
      <c r="L5" s="35">
        <f>50*30</f>
        <v>1500</v>
      </c>
      <c r="M5" s="35">
        <f>50*20</f>
        <v>1000</v>
      </c>
      <c r="N5" s="83">
        <f t="shared" ref="N5" si="1">SUM(B5:M5)</f>
        <v>4950</v>
      </c>
    </row>
    <row r="6" spans="1:15" x14ac:dyDescent="0.25">
      <c r="A6" s="79" t="s">
        <v>112</v>
      </c>
      <c r="B6" s="35">
        <f>B16*8</f>
        <v>288</v>
      </c>
      <c r="C6" s="35">
        <f>C16*5</f>
        <v>180</v>
      </c>
      <c r="D6" s="35">
        <f>D16*0</f>
        <v>0</v>
      </c>
      <c r="E6" s="35">
        <f>E16*0</f>
        <v>0</v>
      </c>
      <c r="F6" s="35">
        <f>F16*0</f>
        <v>0</v>
      </c>
      <c r="G6" s="35">
        <f>G16*0</f>
        <v>0</v>
      </c>
      <c r="H6" s="35">
        <f>H16*3</f>
        <v>108</v>
      </c>
      <c r="I6" s="35">
        <f>I16*0</f>
        <v>0</v>
      </c>
      <c r="J6" s="35">
        <f>J16*0</f>
        <v>0</v>
      </c>
      <c r="K6" s="35">
        <f>K16*0</f>
        <v>0</v>
      </c>
      <c r="L6" s="35">
        <f>L16*8</f>
        <v>288</v>
      </c>
      <c r="M6" s="35">
        <f>M16*10</f>
        <v>360</v>
      </c>
      <c r="N6" s="83">
        <f>SUM(B6:M6)</f>
        <v>1224</v>
      </c>
    </row>
    <row r="7" spans="1:15" x14ac:dyDescent="0.25">
      <c r="A7" s="84" t="s">
        <v>54</v>
      </c>
      <c r="B7" s="59">
        <f>SUM(B4:B6)</f>
        <v>2938</v>
      </c>
      <c r="C7" s="59">
        <f t="shared" ref="C7:L7" si="2">SUM(C4:C6)</f>
        <v>2105</v>
      </c>
      <c r="D7" s="59">
        <f t="shared" si="2"/>
        <v>960</v>
      </c>
      <c r="E7" s="59">
        <f t="shared" si="2"/>
        <v>385</v>
      </c>
      <c r="F7" s="59">
        <f t="shared" si="2"/>
        <v>385</v>
      </c>
      <c r="G7" s="59">
        <f t="shared" si="2"/>
        <v>335</v>
      </c>
      <c r="H7" s="59">
        <f t="shared" si="2"/>
        <v>443</v>
      </c>
      <c r="I7" s="59">
        <f t="shared" si="2"/>
        <v>335</v>
      </c>
      <c r="J7" s="59">
        <f t="shared" si="2"/>
        <v>725</v>
      </c>
      <c r="K7" s="59">
        <f>SUM(K4:K6)</f>
        <v>1350</v>
      </c>
      <c r="L7" s="59">
        <f t="shared" si="2"/>
        <v>4638</v>
      </c>
      <c r="M7" s="59">
        <f>SUM(M4:M6)</f>
        <v>3260</v>
      </c>
      <c r="N7" s="85">
        <f>SUM(N4:N6)</f>
        <v>17859</v>
      </c>
      <c r="O7" s="21"/>
    </row>
    <row r="8" spans="1:15" x14ac:dyDescent="0.25">
      <c r="A8" s="84" t="s">
        <v>50</v>
      </c>
      <c r="B8" s="40">
        <f>('Start Up Costs '!B19/5)*20</f>
        <v>800</v>
      </c>
      <c r="C8" s="40">
        <f>('Start Up Costs '!B19/5)*15</f>
        <v>600</v>
      </c>
      <c r="D8" s="40">
        <f>('Start Up Costs '!B19/5)*8</f>
        <v>320</v>
      </c>
      <c r="E8" s="40">
        <f>('Start Up Costs '!B19/5)*3</f>
        <v>120</v>
      </c>
      <c r="F8" s="40">
        <f>('Start Up Costs '!B19/5)*3</f>
        <v>120</v>
      </c>
      <c r="G8" s="40">
        <f>('Start Up Costs '!B19/5)*3</f>
        <v>120</v>
      </c>
      <c r="H8" s="40">
        <f>('Start Up Costs '!B19/5)*3</f>
        <v>120</v>
      </c>
      <c r="I8" s="40">
        <f>('Start Up Costs '!B19/5)*3</f>
        <v>120</v>
      </c>
      <c r="J8" s="40">
        <f>('Start Up Costs '!B19/5)*5</f>
        <v>200</v>
      </c>
      <c r="K8" s="40">
        <f>('Start Up Costs '!B19/5)*10</f>
        <v>400</v>
      </c>
      <c r="L8" s="40">
        <f>('Start Up Costs '!B19/5)*15</f>
        <v>600</v>
      </c>
      <c r="M8" s="40">
        <f>('Start Up Costs '!B19/5)*20</f>
        <v>800</v>
      </c>
      <c r="N8" s="85">
        <f>B8+C8+D8+E8+F8+G8+H8+I8+J8+K8+L8+M8</f>
        <v>4320</v>
      </c>
    </row>
    <row r="9" spans="1:15" x14ac:dyDescent="0.25">
      <c r="A9" s="79"/>
      <c r="N9" s="86"/>
    </row>
    <row r="10" spans="1:15" x14ac:dyDescent="0.25">
      <c r="A10" s="84" t="s">
        <v>56</v>
      </c>
      <c r="B10" s="60">
        <f>B7-B8</f>
        <v>2138</v>
      </c>
      <c r="C10" s="60">
        <f t="shared" ref="C10:L10" si="3">C7-C8</f>
        <v>1505</v>
      </c>
      <c r="D10" s="60">
        <f t="shared" si="3"/>
        <v>640</v>
      </c>
      <c r="E10" s="60">
        <f>E7-E8</f>
        <v>265</v>
      </c>
      <c r="F10" s="60">
        <f t="shared" si="3"/>
        <v>265</v>
      </c>
      <c r="G10" s="60">
        <f t="shared" si="3"/>
        <v>215</v>
      </c>
      <c r="H10" s="60">
        <f t="shared" si="3"/>
        <v>323</v>
      </c>
      <c r="I10" s="60">
        <f t="shared" si="3"/>
        <v>215</v>
      </c>
      <c r="J10" s="60">
        <f t="shared" si="3"/>
        <v>525</v>
      </c>
      <c r="K10" s="60">
        <f t="shared" si="3"/>
        <v>950</v>
      </c>
      <c r="L10" s="60">
        <f t="shared" si="3"/>
        <v>4038</v>
      </c>
      <c r="M10" s="60">
        <f>M7-M8</f>
        <v>2460</v>
      </c>
      <c r="N10" s="85">
        <f>N7-N8</f>
        <v>13539</v>
      </c>
    </row>
    <row r="11" spans="1:15" x14ac:dyDescent="0.25">
      <c r="A11" s="79"/>
      <c r="N11" s="86"/>
    </row>
    <row r="12" spans="1:15" x14ac:dyDescent="0.25">
      <c r="A12" s="81" t="s">
        <v>55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87"/>
    </row>
    <row r="13" spans="1:15" x14ac:dyDescent="0.25">
      <c r="A13" s="79" t="s">
        <v>37</v>
      </c>
      <c r="B13" s="35">
        <f>19*27.5</f>
        <v>522.5</v>
      </c>
      <c r="C13" s="35">
        <f>19*20</f>
        <v>380</v>
      </c>
      <c r="D13" s="35">
        <f>19*10</f>
        <v>190</v>
      </c>
      <c r="E13" s="35">
        <f>19*4</f>
        <v>76</v>
      </c>
      <c r="F13" s="35">
        <f>19*4</f>
        <v>76</v>
      </c>
      <c r="G13" s="35">
        <f>19*3.5</f>
        <v>66.5</v>
      </c>
      <c r="H13" s="35">
        <f>19*3.5</f>
        <v>66.5</v>
      </c>
      <c r="I13" s="35">
        <f>19*3.5</f>
        <v>66.5</v>
      </c>
      <c r="J13" s="35">
        <f>19*7.5</f>
        <v>142.5</v>
      </c>
      <c r="K13" s="35">
        <f>19*14</f>
        <v>266</v>
      </c>
      <c r="L13" s="35">
        <f>19*45</f>
        <v>855</v>
      </c>
      <c r="M13" s="35">
        <f>19*30</f>
        <v>570</v>
      </c>
      <c r="N13" s="88">
        <f t="shared" ref="N13:N19" si="4">SUM(B13:M13)</f>
        <v>3277.5</v>
      </c>
    </row>
    <row r="14" spans="1:15" x14ac:dyDescent="0.25">
      <c r="A14" s="79" t="s">
        <v>38</v>
      </c>
      <c r="B14" s="61">
        <f>'Start Up Costs '!B27/12</f>
        <v>12.5</v>
      </c>
      <c r="C14" s="61">
        <f>'Start Up Costs '!B27/12</f>
        <v>12.5</v>
      </c>
      <c r="D14" s="61">
        <f>'Start Up Costs '!B27/12</f>
        <v>12.5</v>
      </c>
      <c r="E14" s="61">
        <f>'Start Up Costs '!B27/12</f>
        <v>12.5</v>
      </c>
      <c r="F14" s="61">
        <f>'Start Up Costs '!B27/12</f>
        <v>12.5</v>
      </c>
      <c r="G14" s="61">
        <f>'Start Up Costs '!B27/12</f>
        <v>12.5</v>
      </c>
      <c r="H14" s="61">
        <f>'Start Up Costs '!B27/12</f>
        <v>12.5</v>
      </c>
      <c r="I14" s="61">
        <f>'Start Up Costs '!B27/12</f>
        <v>12.5</v>
      </c>
      <c r="J14" s="61">
        <f>'Start Up Costs '!B27/12</f>
        <v>12.5</v>
      </c>
      <c r="K14" s="61">
        <f>'Start Up Costs '!B27/12</f>
        <v>12.5</v>
      </c>
      <c r="L14" s="61">
        <f>'Start Up Costs '!B27/12</f>
        <v>12.5</v>
      </c>
      <c r="M14" s="61">
        <f>'Start Up Costs '!B27/12</f>
        <v>12.5</v>
      </c>
      <c r="N14" s="88">
        <f t="shared" si="4"/>
        <v>150</v>
      </c>
    </row>
    <row r="15" spans="1:15" x14ac:dyDescent="0.25">
      <c r="A15" s="79" t="s">
        <v>39</v>
      </c>
      <c r="B15" s="35">
        <f>'Start Up Costs '!B22+'Start Up Costs '!B21</f>
        <v>45</v>
      </c>
      <c r="C15" s="35">
        <f>'Start Up Costs '!B22+'Start Up Costs '!B21</f>
        <v>45</v>
      </c>
      <c r="D15" s="35">
        <f>'Start Up Costs '!B22+'Start Up Costs '!B21</f>
        <v>45</v>
      </c>
      <c r="E15" s="35">
        <f>'Start Up Costs '!B22+'Start Up Costs '!B21</f>
        <v>45</v>
      </c>
      <c r="F15" s="35">
        <f>'Start Up Costs '!B22+'Start Up Costs '!B21</f>
        <v>45</v>
      </c>
      <c r="G15" s="35">
        <f>'Start Up Costs '!B22+'Start Up Costs '!B21</f>
        <v>45</v>
      </c>
      <c r="H15" s="35">
        <f>'Start Up Costs '!B22+'Start Up Costs '!B21</f>
        <v>45</v>
      </c>
      <c r="I15" s="35">
        <f>'Start Up Costs '!B22+'Start Up Costs '!B21</f>
        <v>45</v>
      </c>
      <c r="J15" s="35">
        <f>'Start Up Costs '!B22+'Start Up Costs '!B21</f>
        <v>45</v>
      </c>
      <c r="K15" s="35">
        <f>'Start Up Costs '!B22+'Start Up Costs '!B21</f>
        <v>45</v>
      </c>
      <c r="L15" s="35">
        <f>'Start Up Costs '!B22+'Start Up Costs '!B21</f>
        <v>45</v>
      </c>
      <c r="M15" s="35">
        <f>'Start Up Costs '!B22+'Start Up Costs '!B21</f>
        <v>45</v>
      </c>
      <c r="N15" s="88">
        <f t="shared" si="4"/>
        <v>540</v>
      </c>
    </row>
    <row r="16" spans="1:15" x14ac:dyDescent="0.25">
      <c r="A16" s="79" t="s">
        <v>116</v>
      </c>
      <c r="B16" s="35">
        <f>120*0.3</f>
        <v>36</v>
      </c>
      <c r="C16" s="35">
        <f t="shared" ref="C16:M16" si="5">120*0.3</f>
        <v>36</v>
      </c>
      <c r="D16" s="35">
        <f t="shared" si="5"/>
        <v>36</v>
      </c>
      <c r="E16" s="35">
        <f t="shared" si="5"/>
        <v>36</v>
      </c>
      <c r="F16" s="35">
        <f t="shared" si="5"/>
        <v>36</v>
      </c>
      <c r="G16" s="35">
        <f t="shared" si="5"/>
        <v>36</v>
      </c>
      <c r="H16" s="35">
        <f t="shared" si="5"/>
        <v>36</v>
      </c>
      <c r="I16" s="35">
        <f t="shared" si="5"/>
        <v>36</v>
      </c>
      <c r="J16" s="35">
        <f t="shared" si="5"/>
        <v>36</v>
      </c>
      <c r="K16" s="35">
        <f t="shared" si="5"/>
        <v>36</v>
      </c>
      <c r="L16" s="35">
        <f t="shared" si="5"/>
        <v>36</v>
      </c>
      <c r="M16" s="35">
        <f t="shared" si="5"/>
        <v>36</v>
      </c>
      <c r="N16" s="88">
        <f t="shared" si="4"/>
        <v>432</v>
      </c>
    </row>
    <row r="17" spans="1:17" x14ac:dyDescent="0.25">
      <c r="A17" s="79" t="s">
        <v>40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88">
        <f t="shared" si="4"/>
        <v>0</v>
      </c>
    </row>
    <row r="18" spans="1:17" ht="15" customHeight="1" x14ac:dyDescent="0.25">
      <c r="A18" s="79" t="s">
        <v>113</v>
      </c>
      <c r="B18" s="62">
        <f>5*35</f>
        <v>175</v>
      </c>
      <c r="C18" s="62">
        <f>5*25</f>
        <v>125</v>
      </c>
      <c r="D18" s="62">
        <f>5*12</f>
        <v>60</v>
      </c>
      <c r="E18" s="62">
        <f t="shared" ref="E18:K18" si="6">5*5</f>
        <v>25</v>
      </c>
      <c r="F18" s="62">
        <f t="shared" si="6"/>
        <v>25</v>
      </c>
      <c r="G18" s="62">
        <f t="shared" si="6"/>
        <v>25</v>
      </c>
      <c r="H18" s="62">
        <f t="shared" si="6"/>
        <v>25</v>
      </c>
      <c r="I18" s="62">
        <f t="shared" si="6"/>
        <v>25</v>
      </c>
      <c r="J18" s="62">
        <f t="shared" si="6"/>
        <v>25</v>
      </c>
      <c r="K18" s="62">
        <f t="shared" si="6"/>
        <v>25</v>
      </c>
      <c r="L18" s="62">
        <f>5*60</f>
        <v>300</v>
      </c>
      <c r="M18" s="62">
        <f>5*40</f>
        <v>200</v>
      </c>
      <c r="N18" s="88">
        <f t="shared" si="4"/>
        <v>1035</v>
      </c>
    </row>
    <row r="19" spans="1:17" ht="15" customHeight="1" x14ac:dyDescent="0.25">
      <c r="A19" s="89" t="s">
        <v>117</v>
      </c>
      <c r="B19" s="63">
        <v>45</v>
      </c>
      <c r="C19" s="63">
        <v>45</v>
      </c>
      <c r="D19" s="63">
        <v>45</v>
      </c>
      <c r="E19" s="63">
        <v>45</v>
      </c>
      <c r="F19" s="63">
        <v>45</v>
      </c>
      <c r="G19" s="63">
        <v>45</v>
      </c>
      <c r="H19" s="63">
        <v>45</v>
      </c>
      <c r="I19" s="63">
        <v>45</v>
      </c>
      <c r="J19" s="63">
        <v>45</v>
      </c>
      <c r="K19" s="63">
        <v>45</v>
      </c>
      <c r="L19" s="63">
        <v>45</v>
      </c>
      <c r="M19" s="63">
        <v>45</v>
      </c>
      <c r="N19" s="88">
        <f t="shared" si="4"/>
        <v>540</v>
      </c>
    </row>
    <row r="20" spans="1:17" x14ac:dyDescent="0.25">
      <c r="A20" s="84" t="s">
        <v>41</v>
      </c>
      <c r="B20" s="59">
        <f>B13+B14+B15+B16+B17+B18+B19</f>
        <v>836</v>
      </c>
      <c r="C20" s="59">
        <f>C13+C14+C15+C16+C17+C18+C19</f>
        <v>643.5</v>
      </c>
      <c r="D20" s="59">
        <f>D13+D14+D15+D16+D17+D18+D19</f>
        <v>388.5</v>
      </c>
      <c r="E20" s="59">
        <f>E13+E14+E15+E16+E17+E18+E19</f>
        <v>239.5</v>
      </c>
      <c r="F20" s="59">
        <f t="shared" ref="F20:L20" si="7">F13+F14+F15+F16+F17+F18+F19</f>
        <v>239.5</v>
      </c>
      <c r="G20" s="59">
        <f t="shared" si="7"/>
        <v>230</v>
      </c>
      <c r="H20" s="59">
        <f t="shared" si="7"/>
        <v>230</v>
      </c>
      <c r="I20" s="59">
        <f t="shared" si="7"/>
        <v>230</v>
      </c>
      <c r="J20" s="59">
        <f t="shared" si="7"/>
        <v>306</v>
      </c>
      <c r="K20" s="59">
        <f t="shared" si="7"/>
        <v>429.5</v>
      </c>
      <c r="L20" s="59">
        <f t="shared" si="7"/>
        <v>1293.5</v>
      </c>
      <c r="M20" s="59">
        <f>M13+M14+M15+M16+M17+M18+M19</f>
        <v>908.5</v>
      </c>
      <c r="N20" s="85">
        <f>SUM(N13:N19)</f>
        <v>5974.5</v>
      </c>
    </row>
    <row r="21" spans="1:17" x14ac:dyDescent="0.25">
      <c r="A21" s="90"/>
      <c r="N21" s="86"/>
    </row>
    <row r="22" spans="1:17" x14ac:dyDescent="0.25">
      <c r="A22" s="90" t="s">
        <v>53</v>
      </c>
      <c r="B22" s="21">
        <f>B7-B8</f>
        <v>2138</v>
      </c>
      <c r="C22" s="21">
        <f t="shared" ref="C22:M22" si="8">C10-C20</f>
        <v>861.5</v>
      </c>
      <c r="D22" s="21">
        <f t="shared" si="8"/>
        <v>251.5</v>
      </c>
      <c r="E22" s="21">
        <f t="shared" si="8"/>
        <v>25.5</v>
      </c>
      <c r="F22" s="21">
        <f t="shared" si="8"/>
        <v>25.5</v>
      </c>
      <c r="G22" s="21">
        <f t="shared" si="8"/>
        <v>-15</v>
      </c>
      <c r="H22" s="21">
        <f t="shared" si="8"/>
        <v>93</v>
      </c>
      <c r="I22" s="21">
        <f t="shared" si="8"/>
        <v>-15</v>
      </c>
      <c r="J22" s="21">
        <f t="shared" si="8"/>
        <v>219</v>
      </c>
      <c r="K22" s="21">
        <f t="shared" si="8"/>
        <v>520.5</v>
      </c>
      <c r="L22" s="21">
        <f>L10-L20</f>
        <v>2744.5</v>
      </c>
      <c r="M22" s="21">
        <f t="shared" si="8"/>
        <v>1551.5</v>
      </c>
      <c r="N22" s="88">
        <f>N7-(N8+N20)</f>
        <v>7564.5</v>
      </c>
    </row>
    <row r="23" spans="1:17" x14ac:dyDescent="0.25">
      <c r="A23" s="79" t="s">
        <v>42</v>
      </c>
      <c r="B23" s="21">
        <f>B22*0.15</f>
        <v>320.7</v>
      </c>
      <c r="C23" s="21">
        <f t="shared" ref="C23:M23" si="9">C22*0.15</f>
        <v>129.22499999999999</v>
      </c>
      <c r="D23" s="21">
        <f t="shared" si="9"/>
        <v>37.725000000000001</v>
      </c>
      <c r="E23" s="21">
        <f t="shared" si="9"/>
        <v>3.8249999999999997</v>
      </c>
      <c r="F23" s="21">
        <f t="shared" si="9"/>
        <v>3.8249999999999997</v>
      </c>
      <c r="G23" s="21">
        <f t="shared" si="9"/>
        <v>-2.25</v>
      </c>
      <c r="H23" s="21">
        <f t="shared" si="9"/>
        <v>13.95</v>
      </c>
      <c r="I23" s="21">
        <f t="shared" si="9"/>
        <v>-2.25</v>
      </c>
      <c r="J23" s="21">
        <f t="shared" si="9"/>
        <v>32.85</v>
      </c>
      <c r="K23" s="21">
        <f t="shared" si="9"/>
        <v>78.075000000000003</v>
      </c>
      <c r="L23" s="21">
        <f t="shared" si="9"/>
        <v>411.67500000000001</v>
      </c>
      <c r="M23" s="21">
        <f t="shared" si="9"/>
        <v>232.72499999999999</v>
      </c>
      <c r="N23" s="88">
        <f>N22*0.15</f>
        <v>1134.675</v>
      </c>
    </row>
    <row r="24" spans="1:17" ht="16.5" thickBot="1" x14ac:dyDescent="0.3">
      <c r="A24" s="91" t="s">
        <v>43</v>
      </c>
      <c r="B24" s="92">
        <f>B22-B23</f>
        <v>1817.3</v>
      </c>
      <c r="C24" s="92">
        <f>C22-C23</f>
        <v>732.27499999999998</v>
      </c>
      <c r="D24" s="92">
        <f>D22-D23</f>
        <v>213.77500000000001</v>
      </c>
      <c r="E24" s="92">
        <f>E22-E23</f>
        <v>21.675000000000001</v>
      </c>
      <c r="F24" s="92">
        <f t="shared" ref="F24:M24" si="10">F22-F23</f>
        <v>21.675000000000001</v>
      </c>
      <c r="G24" s="92">
        <f t="shared" si="10"/>
        <v>-12.75</v>
      </c>
      <c r="H24" s="92">
        <f t="shared" si="10"/>
        <v>79.05</v>
      </c>
      <c r="I24" s="92">
        <f t="shared" si="10"/>
        <v>-12.75</v>
      </c>
      <c r="J24" s="92">
        <f t="shared" si="10"/>
        <v>186.15</v>
      </c>
      <c r="K24" s="92">
        <f t="shared" si="10"/>
        <v>442.42500000000001</v>
      </c>
      <c r="L24" s="92">
        <f t="shared" si="10"/>
        <v>2332.8249999999998</v>
      </c>
      <c r="M24" s="92">
        <f t="shared" si="10"/>
        <v>1318.7750000000001</v>
      </c>
      <c r="N24" s="93">
        <f>N22-N23</f>
        <v>6429.8249999999998</v>
      </c>
    </row>
    <row r="26" spans="1:17" x14ac:dyDescent="0.25">
      <c r="A26" s="23" t="s">
        <v>115</v>
      </c>
      <c r="B26" s="24">
        <f>N22/N7</f>
        <v>0.42356794893331096</v>
      </c>
    </row>
    <row r="27" spans="1:17" x14ac:dyDescent="0.25">
      <c r="A27" s="1"/>
      <c r="B27" s="25"/>
    </row>
    <row r="28" spans="1:17" x14ac:dyDescent="0.25">
      <c r="A28" s="1"/>
      <c r="B28" s="25"/>
    </row>
    <row r="29" spans="1:17" x14ac:dyDescent="0.25">
      <c r="A29" s="1"/>
      <c r="B29" s="25"/>
    </row>
    <row r="30" spans="1:17" ht="17.25" x14ac:dyDescent="0.25">
      <c r="B30" s="6" t="s">
        <v>45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B32" s="8" t="s">
        <v>46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25"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25">
      <c r="B34" s="10" t="s">
        <v>49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25">
      <c r="B35" s="10" t="s">
        <v>44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25">
      <c r="B36" s="10" t="s">
        <v>51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25">
      <c r="B37" s="10" t="s">
        <v>52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25">
      <c r="B38" s="10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ht="17.25" x14ac:dyDescent="0.25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ht="17.25" x14ac:dyDescent="0.25">
      <c r="B40" s="6" t="s">
        <v>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N45"/>
  <sheetViews>
    <sheetView zoomScale="69" zoomScaleNormal="69" workbookViewId="0">
      <selection activeCell="O17" sqref="O17"/>
    </sheetView>
  </sheetViews>
  <sheetFormatPr defaultColWidth="11" defaultRowHeight="15.75" x14ac:dyDescent="0.25"/>
  <cols>
    <col min="1" max="1" width="34.875" bestFit="1" customWidth="1"/>
  </cols>
  <sheetData>
    <row r="1" spans="1:13" ht="30.75" customHeight="1" x14ac:dyDescent="0.35">
      <c r="A1" s="137" t="s">
        <v>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 x14ac:dyDescent="0.25">
      <c r="A2" s="79"/>
      <c r="B2" s="94" t="s">
        <v>9</v>
      </c>
      <c r="C2" s="94" t="s">
        <v>10</v>
      </c>
      <c r="D2" s="94" t="s">
        <v>11</v>
      </c>
      <c r="E2" s="94" t="s">
        <v>12</v>
      </c>
      <c r="F2" s="94" t="s">
        <v>13</v>
      </c>
      <c r="G2" s="94" t="s">
        <v>14</v>
      </c>
      <c r="H2" s="94" t="s">
        <v>15</v>
      </c>
      <c r="I2" s="94" t="s">
        <v>16</v>
      </c>
      <c r="J2" s="94" t="s">
        <v>17</v>
      </c>
      <c r="K2" s="94" t="s">
        <v>18</v>
      </c>
      <c r="L2" s="94" t="s">
        <v>19</v>
      </c>
      <c r="M2" s="95" t="s">
        <v>20</v>
      </c>
    </row>
    <row r="3" spans="1:13" x14ac:dyDescent="0.25">
      <c r="A3" s="84" t="s">
        <v>66</v>
      </c>
      <c r="B3" s="40">
        <v>300</v>
      </c>
      <c r="C3" s="40">
        <f>+B31</f>
        <v>908</v>
      </c>
      <c r="D3" s="40">
        <f t="shared" ref="D3:M3" si="0">+C31</f>
        <v>1009</v>
      </c>
      <c r="E3" s="40">
        <f t="shared" si="0"/>
        <v>879.5</v>
      </c>
      <c r="F3" s="40">
        <f t="shared" si="0"/>
        <v>750</v>
      </c>
      <c r="G3" s="40">
        <f t="shared" si="0"/>
        <v>620.5</v>
      </c>
      <c r="H3" s="40">
        <f t="shared" si="0"/>
        <v>491</v>
      </c>
      <c r="I3" s="40">
        <f t="shared" si="0"/>
        <v>433.5</v>
      </c>
      <c r="J3" s="40">
        <f t="shared" si="0"/>
        <v>304</v>
      </c>
      <c r="K3" s="40">
        <f t="shared" si="0"/>
        <v>174.5</v>
      </c>
      <c r="L3" s="40">
        <f t="shared" si="0"/>
        <v>45</v>
      </c>
      <c r="M3" s="96">
        <f t="shared" si="0"/>
        <v>351</v>
      </c>
    </row>
    <row r="4" spans="1:13" x14ac:dyDescent="0.25">
      <c r="A4" s="79"/>
      <c r="M4" s="80"/>
    </row>
    <row r="5" spans="1:13" x14ac:dyDescent="0.25">
      <c r="A5" s="81" t="s">
        <v>69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82"/>
    </row>
    <row r="6" spans="1:13" x14ac:dyDescent="0.25">
      <c r="A6" s="79" t="s">
        <v>68</v>
      </c>
      <c r="B6" s="21">
        <f>'Income Statement Year 1 '!B7</f>
        <v>1544</v>
      </c>
      <c r="C6" s="21">
        <f>'Income Statement Year 1 '!C7</f>
        <v>596</v>
      </c>
      <c r="D6" s="21">
        <f>'Income Statement Year 1 '!D7</f>
        <v>145</v>
      </c>
      <c r="E6" s="21">
        <f>'Income Statement Year 1 '!E7</f>
        <v>145</v>
      </c>
      <c r="F6" s="21">
        <f>'Income Statement Year 1 '!F7</f>
        <v>145</v>
      </c>
      <c r="G6" s="21">
        <f>'Income Statement Year 1 '!G7</f>
        <v>145</v>
      </c>
      <c r="H6" s="21">
        <f>'Income Statement Year 1 '!H7</f>
        <v>217</v>
      </c>
      <c r="I6" s="21">
        <f>'Income Statement Year 1 '!I7</f>
        <v>145</v>
      </c>
      <c r="J6" s="21">
        <f>'Income Statement Year 1 '!J7</f>
        <v>145</v>
      </c>
      <c r="K6" s="21">
        <f>'Income Statement Year 1 '!K7</f>
        <v>145</v>
      </c>
      <c r="L6" s="21">
        <f>'Income Statement Year 1 '!L7</f>
        <v>948</v>
      </c>
      <c r="M6" s="97">
        <f>'Income Statement Year 1 '!M7</f>
        <v>2244</v>
      </c>
    </row>
    <row r="7" spans="1:13" x14ac:dyDescent="0.25">
      <c r="A7" s="79" t="s">
        <v>67</v>
      </c>
      <c r="M7" s="80"/>
    </row>
    <row r="8" spans="1:13" x14ac:dyDescent="0.25">
      <c r="A8" s="79"/>
      <c r="M8" s="80"/>
    </row>
    <row r="9" spans="1:13" x14ac:dyDescent="0.25">
      <c r="A9" s="84" t="s">
        <v>70</v>
      </c>
      <c r="B9" s="40">
        <f>B6+B7</f>
        <v>1544</v>
      </c>
      <c r="C9" s="40">
        <f t="shared" ref="C9:L9" si="1">C6+C7</f>
        <v>596</v>
      </c>
      <c r="D9" s="40">
        <f t="shared" si="1"/>
        <v>145</v>
      </c>
      <c r="E9" s="40">
        <f t="shared" si="1"/>
        <v>145</v>
      </c>
      <c r="F9" s="40">
        <f t="shared" si="1"/>
        <v>145</v>
      </c>
      <c r="G9" s="40">
        <f t="shared" si="1"/>
        <v>145</v>
      </c>
      <c r="H9" s="40">
        <f t="shared" si="1"/>
        <v>217</v>
      </c>
      <c r="I9" s="40">
        <f t="shared" si="1"/>
        <v>145</v>
      </c>
      <c r="J9" s="40">
        <f t="shared" si="1"/>
        <v>145</v>
      </c>
      <c r="K9" s="40">
        <f t="shared" si="1"/>
        <v>145</v>
      </c>
      <c r="L9" s="40">
        <f t="shared" si="1"/>
        <v>948</v>
      </c>
      <c r="M9" s="96">
        <f>M6+M7</f>
        <v>2244</v>
      </c>
    </row>
    <row r="10" spans="1:13" x14ac:dyDescent="0.25">
      <c r="A10" s="9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98"/>
    </row>
    <row r="11" spans="1:13" x14ac:dyDescent="0.25">
      <c r="A11" s="84" t="s">
        <v>81</v>
      </c>
      <c r="B11" s="40">
        <f>B3+B9</f>
        <v>1844</v>
      </c>
      <c r="C11" s="40">
        <f t="shared" ref="C11:M11" si="2">C3+C9</f>
        <v>1504</v>
      </c>
      <c r="D11" s="40">
        <f t="shared" si="2"/>
        <v>1154</v>
      </c>
      <c r="E11" s="40">
        <f t="shared" si="2"/>
        <v>1024.5</v>
      </c>
      <c r="F11" s="40">
        <f t="shared" si="2"/>
        <v>895</v>
      </c>
      <c r="G11" s="40">
        <f t="shared" si="2"/>
        <v>765.5</v>
      </c>
      <c r="H11" s="40">
        <f t="shared" si="2"/>
        <v>708</v>
      </c>
      <c r="I11" s="40">
        <f t="shared" si="2"/>
        <v>578.5</v>
      </c>
      <c r="J11" s="40">
        <f t="shared" si="2"/>
        <v>449</v>
      </c>
      <c r="K11" s="40">
        <f t="shared" si="2"/>
        <v>319.5</v>
      </c>
      <c r="L11" s="40">
        <f t="shared" si="2"/>
        <v>993</v>
      </c>
      <c r="M11" s="96">
        <f t="shared" si="2"/>
        <v>2595</v>
      </c>
    </row>
    <row r="12" spans="1:13" x14ac:dyDescent="0.25">
      <c r="A12" s="79"/>
      <c r="M12" s="80"/>
    </row>
    <row r="13" spans="1:13" x14ac:dyDescent="0.25">
      <c r="A13" s="81" t="s">
        <v>71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82"/>
    </row>
    <row r="14" spans="1:13" x14ac:dyDescent="0.25">
      <c r="A14" s="79" t="s">
        <v>50</v>
      </c>
      <c r="B14" s="21">
        <f>'Income Statement Year 1 '!B8</f>
        <v>400</v>
      </c>
      <c r="C14" s="21">
        <f>'Income Statement Year 1 '!C8</f>
        <v>160</v>
      </c>
      <c r="D14" s="21">
        <f>'Income Statement Year 1 '!D8</f>
        <v>40</v>
      </c>
      <c r="E14" s="21">
        <f>'Income Statement Year 1 '!E8</f>
        <v>40</v>
      </c>
      <c r="F14" s="21">
        <f>'Income Statement Year 1 '!F8</f>
        <v>40</v>
      </c>
      <c r="G14" s="21">
        <f>'Income Statement Year 1 '!G8</f>
        <v>40</v>
      </c>
      <c r="H14" s="21">
        <f>'Income Statement Year 1 '!H8</f>
        <v>40</v>
      </c>
      <c r="I14" s="21">
        <f>'Income Statement Year 1 '!I8</f>
        <v>40</v>
      </c>
      <c r="J14" s="21">
        <f>'Income Statement Year 1 '!J8</f>
        <v>40</v>
      </c>
      <c r="K14" s="21">
        <f>'Income Statement Year 1 '!K8</f>
        <v>40</v>
      </c>
      <c r="L14" s="21">
        <f>'Income Statement Year 1 '!L8</f>
        <v>240</v>
      </c>
      <c r="M14" s="97">
        <f>'Income Statement Year 1 '!M8</f>
        <v>600</v>
      </c>
    </row>
    <row r="15" spans="1:13" x14ac:dyDescent="0.25">
      <c r="A15" s="79"/>
      <c r="M15" s="80"/>
    </row>
    <row r="16" spans="1:13" x14ac:dyDescent="0.25">
      <c r="A16" s="99" t="s">
        <v>77</v>
      </c>
      <c r="B16" s="40">
        <f>B14+B15</f>
        <v>400</v>
      </c>
      <c r="C16" s="40">
        <f t="shared" ref="C16:L16" si="3">C14+C15</f>
        <v>160</v>
      </c>
      <c r="D16" s="40">
        <f t="shared" si="3"/>
        <v>40</v>
      </c>
      <c r="E16" s="40">
        <f t="shared" si="3"/>
        <v>40</v>
      </c>
      <c r="F16" s="40">
        <f t="shared" si="3"/>
        <v>40</v>
      </c>
      <c r="G16" s="40">
        <f t="shared" si="3"/>
        <v>40</v>
      </c>
      <c r="H16" s="40">
        <f t="shared" si="3"/>
        <v>40</v>
      </c>
      <c r="I16" s="40">
        <f t="shared" si="3"/>
        <v>40</v>
      </c>
      <c r="J16" s="40">
        <f t="shared" si="3"/>
        <v>40</v>
      </c>
      <c r="K16" s="40">
        <f t="shared" si="3"/>
        <v>40</v>
      </c>
      <c r="L16" s="40">
        <f t="shared" si="3"/>
        <v>240</v>
      </c>
      <c r="M16" s="96">
        <f>M14+M15</f>
        <v>600</v>
      </c>
    </row>
    <row r="17" spans="1:13" x14ac:dyDescent="0.25">
      <c r="A17" s="100"/>
      <c r="M17" s="80"/>
    </row>
    <row r="18" spans="1:13" x14ac:dyDescent="0.25">
      <c r="A18" s="81" t="s">
        <v>72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82"/>
    </row>
    <row r="19" spans="1:13" x14ac:dyDescent="0.25">
      <c r="A19" s="79" t="s">
        <v>73</v>
      </c>
      <c r="B19" s="21">
        <f>'Income Statement Year 1 '!B13</f>
        <v>285</v>
      </c>
      <c r="C19" s="21">
        <f>'Income Statement Year 1 '!C13</f>
        <v>114</v>
      </c>
      <c r="D19" s="21">
        <f>'Income Statement Year 1 '!D13</f>
        <v>28.5</v>
      </c>
      <c r="E19" s="21">
        <f>'Income Statement Year 1 '!E13</f>
        <v>28.5</v>
      </c>
      <c r="F19" s="21">
        <f>'Income Statement Year 1 '!F13</f>
        <v>28.5</v>
      </c>
      <c r="G19" s="21">
        <f>'Income Statement Year 1 '!G13</f>
        <v>28.5</v>
      </c>
      <c r="H19" s="21">
        <f>'Income Statement Year 1 '!H13</f>
        <v>28.5</v>
      </c>
      <c r="I19" s="21">
        <f>'Income Statement Year 1 '!I13</f>
        <v>28.5</v>
      </c>
      <c r="J19" s="21">
        <f>'Income Statement Year 1 '!J13</f>
        <v>28.5</v>
      </c>
      <c r="K19" s="21">
        <f>'Income Statement Year 1 '!K13</f>
        <v>28.5</v>
      </c>
      <c r="L19" s="21">
        <f>'Income Statement Year 1 '!L13</f>
        <v>171</v>
      </c>
      <c r="M19" s="97">
        <f>'Income Statement Year 1 '!M13</f>
        <v>361</v>
      </c>
    </row>
    <row r="20" spans="1:13" x14ac:dyDescent="0.25">
      <c r="A20" s="79" t="s">
        <v>74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98">
        <v>0</v>
      </c>
    </row>
    <row r="21" spans="1:13" x14ac:dyDescent="0.25">
      <c r="A21" s="79" t="s">
        <v>75</v>
      </c>
      <c r="B21" s="21">
        <f>'Income Statement Year 1 '!B22-B19</f>
        <v>251</v>
      </c>
      <c r="C21" s="21">
        <f>'Income Statement Year 1 '!C22-C19</f>
        <v>221</v>
      </c>
      <c r="D21" s="21">
        <f>'Income Statement Year 1 '!D22-D19</f>
        <v>206</v>
      </c>
      <c r="E21" s="21">
        <f>'Income Statement Year 1 '!E22-E19</f>
        <v>206</v>
      </c>
      <c r="F21" s="21">
        <f>'Income Statement Year 1 '!F22-F19</f>
        <v>206</v>
      </c>
      <c r="G21" s="21">
        <f>'Income Statement Year 1 '!G22-G19</f>
        <v>206</v>
      </c>
      <c r="H21" s="21">
        <f>'Income Statement Year 1 '!H22-H19</f>
        <v>206</v>
      </c>
      <c r="I21" s="21">
        <f>'Income Statement Year 1 '!I22-I19</f>
        <v>206</v>
      </c>
      <c r="J21" s="21">
        <f>'Income Statement Year 1 '!J22-J19</f>
        <v>206</v>
      </c>
      <c r="K21" s="21">
        <f>'Income Statement Year 1 '!K22-K19</f>
        <v>206</v>
      </c>
      <c r="L21" s="21">
        <f>'Income Statement Year 1 '!L22-L19</f>
        <v>231</v>
      </c>
      <c r="M21" s="97">
        <f>'Income Statement Year 1 '!M22-M19</f>
        <v>221</v>
      </c>
    </row>
    <row r="22" spans="1:13" x14ac:dyDescent="0.25">
      <c r="A22" s="79"/>
      <c r="M22" s="80"/>
    </row>
    <row r="23" spans="1:13" x14ac:dyDescent="0.25">
      <c r="A23" s="99" t="s">
        <v>76</v>
      </c>
      <c r="B23" s="40">
        <f>SUM(B19:B21)</f>
        <v>536</v>
      </c>
      <c r="C23" s="40">
        <f t="shared" ref="C23:M23" si="4">SUM(C19:C21)</f>
        <v>335</v>
      </c>
      <c r="D23" s="40">
        <f t="shared" si="4"/>
        <v>234.5</v>
      </c>
      <c r="E23" s="40">
        <f t="shared" si="4"/>
        <v>234.5</v>
      </c>
      <c r="F23" s="40">
        <f t="shared" si="4"/>
        <v>234.5</v>
      </c>
      <c r="G23" s="40">
        <f t="shared" si="4"/>
        <v>234.5</v>
      </c>
      <c r="H23" s="40">
        <f t="shared" si="4"/>
        <v>234.5</v>
      </c>
      <c r="I23" s="40">
        <f t="shared" si="4"/>
        <v>234.5</v>
      </c>
      <c r="J23" s="40">
        <f t="shared" si="4"/>
        <v>234.5</v>
      </c>
      <c r="K23" s="40">
        <f t="shared" si="4"/>
        <v>234.5</v>
      </c>
      <c r="L23" s="40">
        <f t="shared" si="4"/>
        <v>402</v>
      </c>
      <c r="M23" s="96">
        <f t="shared" si="4"/>
        <v>582</v>
      </c>
    </row>
    <row r="24" spans="1:13" x14ac:dyDescent="0.25">
      <c r="A24" s="79"/>
      <c r="M24" s="80"/>
    </row>
    <row r="25" spans="1:13" x14ac:dyDescent="0.25">
      <c r="A25" s="79"/>
      <c r="M25" s="80"/>
    </row>
    <row r="26" spans="1:13" x14ac:dyDescent="0.25">
      <c r="A26" s="84" t="s">
        <v>78</v>
      </c>
      <c r="B26" s="40">
        <f>B16+B23</f>
        <v>936</v>
      </c>
      <c r="C26" s="40">
        <f t="shared" ref="C26:M26" si="5">C16+C23</f>
        <v>495</v>
      </c>
      <c r="D26" s="40">
        <f t="shared" si="5"/>
        <v>274.5</v>
      </c>
      <c r="E26" s="40">
        <f t="shared" si="5"/>
        <v>274.5</v>
      </c>
      <c r="F26" s="40">
        <f t="shared" si="5"/>
        <v>274.5</v>
      </c>
      <c r="G26" s="40">
        <f t="shared" si="5"/>
        <v>274.5</v>
      </c>
      <c r="H26" s="40">
        <f t="shared" si="5"/>
        <v>274.5</v>
      </c>
      <c r="I26" s="40">
        <f t="shared" si="5"/>
        <v>274.5</v>
      </c>
      <c r="J26" s="40">
        <f t="shared" si="5"/>
        <v>274.5</v>
      </c>
      <c r="K26" s="40">
        <f t="shared" si="5"/>
        <v>274.5</v>
      </c>
      <c r="L26" s="40">
        <f t="shared" si="5"/>
        <v>642</v>
      </c>
      <c r="M26" s="96">
        <f t="shared" si="5"/>
        <v>1182</v>
      </c>
    </row>
    <row r="27" spans="1:13" x14ac:dyDescent="0.25">
      <c r="A27" s="79"/>
      <c r="M27" s="80"/>
    </row>
    <row r="28" spans="1:13" x14ac:dyDescent="0.25">
      <c r="A28" s="79" t="s">
        <v>79</v>
      </c>
      <c r="B28" s="35">
        <f>B11</f>
        <v>1844</v>
      </c>
      <c r="C28" s="35">
        <f>C11</f>
        <v>1504</v>
      </c>
      <c r="D28" s="35">
        <f t="shared" ref="D28:M28" si="6">D11</f>
        <v>1154</v>
      </c>
      <c r="E28" s="35">
        <f t="shared" si="6"/>
        <v>1024.5</v>
      </c>
      <c r="F28" s="35">
        <f t="shared" si="6"/>
        <v>895</v>
      </c>
      <c r="G28" s="35">
        <f t="shared" si="6"/>
        <v>765.5</v>
      </c>
      <c r="H28" s="35">
        <f t="shared" si="6"/>
        <v>708</v>
      </c>
      <c r="I28" s="35">
        <f t="shared" si="6"/>
        <v>578.5</v>
      </c>
      <c r="J28" s="35">
        <f t="shared" si="6"/>
        <v>449</v>
      </c>
      <c r="K28" s="35">
        <f t="shared" si="6"/>
        <v>319.5</v>
      </c>
      <c r="L28" s="35">
        <f t="shared" si="6"/>
        <v>993</v>
      </c>
      <c r="M28" s="98">
        <f t="shared" si="6"/>
        <v>2595</v>
      </c>
    </row>
    <row r="29" spans="1:13" x14ac:dyDescent="0.25">
      <c r="A29" s="79" t="s">
        <v>80</v>
      </c>
      <c r="B29" s="35">
        <f>B26</f>
        <v>936</v>
      </c>
      <c r="C29" s="35">
        <f t="shared" ref="C29:M29" si="7">C26</f>
        <v>495</v>
      </c>
      <c r="D29" s="35">
        <f t="shared" si="7"/>
        <v>274.5</v>
      </c>
      <c r="E29" s="35">
        <f t="shared" si="7"/>
        <v>274.5</v>
      </c>
      <c r="F29" s="35">
        <f t="shared" si="7"/>
        <v>274.5</v>
      </c>
      <c r="G29" s="35">
        <f t="shared" si="7"/>
        <v>274.5</v>
      </c>
      <c r="H29" s="35">
        <f t="shared" si="7"/>
        <v>274.5</v>
      </c>
      <c r="I29" s="35">
        <f t="shared" si="7"/>
        <v>274.5</v>
      </c>
      <c r="J29" s="35">
        <f t="shared" si="7"/>
        <v>274.5</v>
      </c>
      <c r="K29" s="35">
        <f t="shared" si="7"/>
        <v>274.5</v>
      </c>
      <c r="L29" s="35">
        <f t="shared" si="7"/>
        <v>642</v>
      </c>
      <c r="M29" s="98">
        <f t="shared" si="7"/>
        <v>1182</v>
      </c>
    </row>
    <row r="30" spans="1:13" x14ac:dyDescent="0.25">
      <c r="A30" s="7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98"/>
    </row>
    <row r="31" spans="1:13" x14ac:dyDescent="0.25">
      <c r="A31" s="84" t="s">
        <v>83</v>
      </c>
      <c r="B31" s="40">
        <f>B28-B29</f>
        <v>908</v>
      </c>
      <c r="C31" s="40">
        <f t="shared" ref="C31:M31" si="8">C28-C29</f>
        <v>1009</v>
      </c>
      <c r="D31" s="40">
        <f t="shared" si="8"/>
        <v>879.5</v>
      </c>
      <c r="E31" s="40">
        <f t="shared" si="8"/>
        <v>750</v>
      </c>
      <c r="F31" s="40">
        <f t="shared" si="8"/>
        <v>620.5</v>
      </c>
      <c r="G31" s="40">
        <f t="shared" si="8"/>
        <v>491</v>
      </c>
      <c r="H31" s="40">
        <f t="shared" si="8"/>
        <v>433.5</v>
      </c>
      <c r="I31" s="40">
        <f t="shared" si="8"/>
        <v>304</v>
      </c>
      <c r="J31" s="40">
        <f t="shared" si="8"/>
        <v>174.5</v>
      </c>
      <c r="K31" s="40">
        <f t="shared" si="8"/>
        <v>45</v>
      </c>
      <c r="L31" s="40">
        <f t="shared" si="8"/>
        <v>351</v>
      </c>
      <c r="M31" s="96">
        <f t="shared" si="8"/>
        <v>1413</v>
      </c>
    </row>
    <row r="32" spans="1:13" x14ac:dyDescent="0.25">
      <c r="A32" s="79" t="s">
        <v>84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98"/>
    </row>
    <row r="33" spans="1:14" ht="16.5" thickBot="1" x14ac:dyDescent="0.3">
      <c r="A33" s="101" t="s">
        <v>85</v>
      </c>
      <c r="B33" s="102">
        <f>B31-B32</f>
        <v>908</v>
      </c>
      <c r="C33" s="102">
        <f t="shared" ref="C33:M33" si="9">C31-C32</f>
        <v>1009</v>
      </c>
      <c r="D33" s="102">
        <f t="shared" si="9"/>
        <v>879.5</v>
      </c>
      <c r="E33" s="102">
        <f t="shared" si="9"/>
        <v>750</v>
      </c>
      <c r="F33" s="102">
        <f t="shared" si="9"/>
        <v>620.5</v>
      </c>
      <c r="G33" s="102">
        <f t="shared" si="9"/>
        <v>491</v>
      </c>
      <c r="H33" s="102">
        <f t="shared" si="9"/>
        <v>433.5</v>
      </c>
      <c r="I33" s="102">
        <f t="shared" si="9"/>
        <v>304</v>
      </c>
      <c r="J33" s="102">
        <f t="shared" si="9"/>
        <v>174.5</v>
      </c>
      <c r="K33" s="102">
        <f t="shared" si="9"/>
        <v>45</v>
      </c>
      <c r="L33" s="102">
        <f t="shared" si="9"/>
        <v>351</v>
      </c>
      <c r="M33" s="103">
        <f t="shared" si="9"/>
        <v>1413</v>
      </c>
      <c r="N33" s="14"/>
    </row>
    <row r="34" spans="1:14" x14ac:dyDescent="0.25">
      <c r="N34" s="15"/>
    </row>
    <row r="35" spans="1:14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16"/>
    </row>
    <row r="36" spans="1:14" x14ac:dyDescent="0.25">
      <c r="N36" s="17"/>
    </row>
    <row r="37" spans="1:14" ht="17.25" x14ac:dyDescent="0.25">
      <c r="C37" s="13"/>
      <c r="N37" s="17"/>
    </row>
    <row r="38" spans="1:14" x14ac:dyDescent="0.25">
      <c r="N38" s="18"/>
    </row>
    <row r="39" spans="1:14" x14ac:dyDescent="0.25">
      <c r="N39" s="18"/>
    </row>
    <row r="40" spans="1:14" x14ac:dyDescent="0.25">
      <c r="N40" s="17"/>
    </row>
    <row r="41" spans="1:14" x14ac:dyDescent="0.25">
      <c r="N41" s="19"/>
    </row>
    <row r="42" spans="1:14" x14ac:dyDescent="0.25">
      <c r="N42" s="15"/>
    </row>
    <row r="43" spans="1:14" x14ac:dyDescent="0.25">
      <c r="N43" s="14"/>
    </row>
    <row r="44" spans="1:14" x14ac:dyDescent="0.25">
      <c r="N44" s="14"/>
    </row>
    <row r="45" spans="1:14" x14ac:dyDescent="0.25">
      <c r="N45" s="14"/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467C9-FB6A-427E-AA75-634EC1522983}">
  <dimension ref="A1:N45"/>
  <sheetViews>
    <sheetView zoomScale="69" zoomScaleNormal="69" workbookViewId="0">
      <selection activeCell="O17" sqref="O17"/>
    </sheetView>
  </sheetViews>
  <sheetFormatPr defaultColWidth="11" defaultRowHeight="15.75" x14ac:dyDescent="0.25"/>
  <cols>
    <col min="1" max="1" width="34.875" bestFit="1" customWidth="1"/>
  </cols>
  <sheetData>
    <row r="1" spans="1:13" ht="35.25" customHeight="1" x14ac:dyDescent="0.35">
      <c r="A1" s="137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 x14ac:dyDescent="0.25">
      <c r="A2" s="79"/>
      <c r="B2" s="94" t="s">
        <v>9</v>
      </c>
      <c r="C2" s="94" t="s">
        <v>10</v>
      </c>
      <c r="D2" s="94" t="s">
        <v>11</v>
      </c>
      <c r="E2" s="94" t="s">
        <v>12</v>
      </c>
      <c r="F2" s="94" t="s">
        <v>13</v>
      </c>
      <c r="G2" s="94" t="s">
        <v>14</v>
      </c>
      <c r="H2" s="94" t="s">
        <v>15</v>
      </c>
      <c r="I2" s="94" t="s">
        <v>16</v>
      </c>
      <c r="J2" s="94" t="s">
        <v>17</v>
      </c>
      <c r="K2" s="94" t="s">
        <v>18</v>
      </c>
      <c r="L2" s="94" t="s">
        <v>19</v>
      </c>
      <c r="M2" s="95" t="s">
        <v>20</v>
      </c>
    </row>
    <row r="3" spans="1:13" x14ac:dyDescent="0.25">
      <c r="A3" s="84" t="s">
        <v>66</v>
      </c>
      <c r="B3" s="40">
        <f>'Cash Flow Year 1 '!M33</f>
        <v>1413</v>
      </c>
      <c r="C3" s="40">
        <f>+B31</f>
        <v>2227.5</v>
      </c>
      <c r="D3" s="40">
        <f t="shared" ref="D3:M3" si="0">+C31</f>
        <v>2659</v>
      </c>
      <c r="E3" s="40">
        <f t="shared" si="0"/>
        <v>2684.5</v>
      </c>
      <c r="F3" s="40">
        <f t="shared" si="0"/>
        <v>2710</v>
      </c>
      <c r="G3" s="40">
        <f t="shared" si="0"/>
        <v>2735.5</v>
      </c>
      <c r="H3" s="40">
        <f t="shared" si="0"/>
        <v>2720.5</v>
      </c>
      <c r="I3" s="40">
        <f t="shared" si="0"/>
        <v>2813.5</v>
      </c>
      <c r="J3" s="40">
        <f t="shared" si="0"/>
        <v>2798.5</v>
      </c>
      <c r="K3" s="40">
        <f t="shared" si="0"/>
        <v>2783.5</v>
      </c>
      <c r="L3" s="40">
        <f t="shared" si="0"/>
        <v>2871</v>
      </c>
      <c r="M3" s="96">
        <f t="shared" si="0"/>
        <v>3544</v>
      </c>
    </row>
    <row r="4" spans="1:13" x14ac:dyDescent="0.25">
      <c r="A4" s="79"/>
      <c r="M4" s="80"/>
    </row>
    <row r="5" spans="1:13" x14ac:dyDescent="0.25">
      <c r="A5" s="81" t="s">
        <v>69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82"/>
    </row>
    <row r="6" spans="1:13" x14ac:dyDescent="0.25">
      <c r="A6" s="79" t="s">
        <v>68</v>
      </c>
      <c r="B6" s="21">
        <f>'Income Statement Year 2'!B7</f>
        <v>1738</v>
      </c>
      <c r="C6" s="21">
        <f>'Income Statement Year 2'!C7</f>
        <v>1140</v>
      </c>
      <c r="D6" s="21">
        <f>'Income Statement Year 2'!D7</f>
        <v>385</v>
      </c>
      <c r="E6" s="21">
        <f>'Income Statement Year 2'!E7</f>
        <v>385</v>
      </c>
      <c r="F6" s="21">
        <f>'Income Statement Year 2'!F7</f>
        <v>385</v>
      </c>
      <c r="G6" s="21">
        <f>'Income Statement Year 2'!G7</f>
        <v>335</v>
      </c>
      <c r="H6" s="21">
        <f>'Income Statement Year 2'!H7</f>
        <v>443</v>
      </c>
      <c r="I6" s="21">
        <f>'Income Statement Year 2'!I7</f>
        <v>335</v>
      </c>
      <c r="J6" s="21">
        <f>'Income Statement Year 2'!J7</f>
        <v>335</v>
      </c>
      <c r="K6" s="21">
        <f>'Income Statement Year 2'!K7</f>
        <v>575</v>
      </c>
      <c r="L6" s="21">
        <f>'Income Statement Year 2'!L7</f>
        <v>1883</v>
      </c>
      <c r="M6" s="97">
        <f>'Income Statement Year 2'!M7</f>
        <v>3188</v>
      </c>
    </row>
    <row r="7" spans="1:13" x14ac:dyDescent="0.25">
      <c r="A7" s="79" t="s">
        <v>67</v>
      </c>
      <c r="M7" s="80"/>
    </row>
    <row r="8" spans="1:13" x14ac:dyDescent="0.25">
      <c r="A8" s="79"/>
      <c r="M8" s="80"/>
    </row>
    <row r="9" spans="1:13" x14ac:dyDescent="0.25">
      <c r="A9" s="84" t="s">
        <v>70</v>
      </c>
      <c r="B9" s="40">
        <f>B6+B7</f>
        <v>1738</v>
      </c>
      <c r="C9" s="40">
        <f t="shared" ref="C9:M9" si="1">C6+C7</f>
        <v>1140</v>
      </c>
      <c r="D9" s="40">
        <f t="shared" si="1"/>
        <v>385</v>
      </c>
      <c r="E9" s="40">
        <f t="shared" si="1"/>
        <v>385</v>
      </c>
      <c r="F9" s="40">
        <f t="shared" si="1"/>
        <v>385</v>
      </c>
      <c r="G9" s="40">
        <f t="shared" si="1"/>
        <v>335</v>
      </c>
      <c r="H9" s="40">
        <f t="shared" si="1"/>
        <v>443</v>
      </c>
      <c r="I9" s="40">
        <f t="shared" si="1"/>
        <v>335</v>
      </c>
      <c r="J9" s="40">
        <f t="shared" si="1"/>
        <v>335</v>
      </c>
      <c r="K9" s="40">
        <f t="shared" si="1"/>
        <v>575</v>
      </c>
      <c r="L9" s="40">
        <f t="shared" si="1"/>
        <v>1883</v>
      </c>
      <c r="M9" s="96">
        <f t="shared" si="1"/>
        <v>3188</v>
      </c>
    </row>
    <row r="10" spans="1:13" x14ac:dyDescent="0.25">
      <c r="A10" s="9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98"/>
    </row>
    <row r="11" spans="1:13" x14ac:dyDescent="0.25">
      <c r="A11" s="84" t="s">
        <v>81</v>
      </c>
      <c r="B11" s="40">
        <f>B3+B9</f>
        <v>3151</v>
      </c>
      <c r="C11" s="40">
        <f t="shared" ref="C11:M11" si="2">C3+C9</f>
        <v>3367.5</v>
      </c>
      <c r="D11" s="40">
        <f t="shared" si="2"/>
        <v>3044</v>
      </c>
      <c r="E11" s="40">
        <f t="shared" si="2"/>
        <v>3069.5</v>
      </c>
      <c r="F11" s="40">
        <f t="shared" si="2"/>
        <v>3095</v>
      </c>
      <c r="G11" s="40">
        <f t="shared" si="2"/>
        <v>3070.5</v>
      </c>
      <c r="H11" s="40">
        <f t="shared" si="2"/>
        <v>3163.5</v>
      </c>
      <c r="I11" s="40">
        <f t="shared" si="2"/>
        <v>3148.5</v>
      </c>
      <c r="J11" s="40">
        <f t="shared" si="2"/>
        <v>3133.5</v>
      </c>
      <c r="K11" s="40">
        <f t="shared" si="2"/>
        <v>3358.5</v>
      </c>
      <c r="L11" s="40">
        <f t="shared" si="2"/>
        <v>4754</v>
      </c>
      <c r="M11" s="96">
        <f t="shared" si="2"/>
        <v>6732</v>
      </c>
    </row>
    <row r="12" spans="1:13" x14ac:dyDescent="0.25">
      <c r="A12" s="79"/>
      <c r="M12" s="80"/>
    </row>
    <row r="13" spans="1:13" x14ac:dyDescent="0.25">
      <c r="A13" s="81" t="s">
        <v>71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82"/>
    </row>
    <row r="14" spans="1:13" x14ac:dyDescent="0.25">
      <c r="A14" s="79" t="s">
        <v>50</v>
      </c>
      <c r="B14" s="21">
        <f>'Income Statement Year 2'!B8</f>
        <v>400</v>
      </c>
      <c r="C14" s="21">
        <f>'Income Statement Year 2'!C8</f>
        <v>320</v>
      </c>
      <c r="D14" s="21">
        <f>'Income Statement Year 2'!D8</f>
        <v>120</v>
      </c>
      <c r="E14" s="21">
        <f>'Income Statement Year 2'!E8</f>
        <v>120</v>
      </c>
      <c r="F14" s="21">
        <f>'Income Statement Year 2'!F8</f>
        <v>120</v>
      </c>
      <c r="G14" s="21">
        <f>'Income Statement Year 2'!G8</f>
        <v>120</v>
      </c>
      <c r="H14" s="21">
        <f>'Income Statement Year 2'!H8</f>
        <v>120</v>
      </c>
      <c r="I14" s="21">
        <f>'Income Statement Year 2'!I8</f>
        <v>120</v>
      </c>
      <c r="J14" s="21">
        <f>'Income Statement Year 2'!J8</f>
        <v>120</v>
      </c>
      <c r="K14" s="21">
        <f>'Income Statement Year 2'!K8</f>
        <v>200</v>
      </c>
      <c r="L14" s="21">
        <f>'Income Statement Year 2'!L8</f>
        <v>600</v>
      </c>
      <c r="M14" s="97">
        <f>'Income Statement Year 2'!M8</f>
        <v>800</v>
      </c>
    </row>
    <row r="15" spans="1:13" x14ac:dyDescent="0.25">
      <c r="A15" s="79"/>
      <c r="M15" s="80"/>
    </row>
    <row r="16" spans="1:13" x14ac:dyDescent="0.25">
      <c r="A16" s="99" t="s">
        <v>77</v>
      </c>
      <c r="B16" s="40">
        <f>B14+B15</f>
        <v>400</v>
      </c>
      <c r="C16" s="40">
        <f t="shared" ref="C16:L16" si="3">C14+C15</f>
        <v>320</v>
      </c>
      <c r="D16" s="40">
        <f t="shared" si="3"/>
        <v>120</v>
      </c>
      <c r="E16" s="40">
        <f t="shared" si="3"/>
        <v>120</v>
      </c>
      <c r="F16" s="40">
        <f t="shared" si="3"/>
        <v>120</v>
      </c>
      <c r="G16" s="40">
        <f t="shared" si="3"/>
        <v>120</v>
      </c>
      <c r="H16" s="40">
        <f t="shared" si="3"/>
        <v>120</v>
      </c>
      <c r="I16" s="40">
        <f t="shared" si="3"/>
        <v>120</v>
      </c>
      <c r="J16" s="40">
        <f t="shared" si="3"/>
        <v>120</v>
      </c>
      <c r="K16" s="40">
        <f t="shared" si="3"/>
        <v>200</v>
      </c>
      <c r="L16" s="40">
        <f t="shared" si="3"/>
        <v>600</v>
      </c>
      <c r="M16" s="96">
        <f>M14+M15</f>
        <v>800</v>
      </c>
    </row>
    <row r="17" spans="1:13" x14ac:dyDescent="0.25">
      <c r="A17" s="100"/>
      <c r="M17" s="80"/>
    </row>
    <row r="18" spans="1:13" x14ac:dyDescent="0.25">
      <c r="A18" s="81" t="s">
        <v>72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82"/>
    </row>
    <row r="19" spans="1:13" x14ac:dyDescent="0.25">
      <c r="A19" s="79" t="s">
        <v>73</v>
      </c>
      <c r="B19" s="21">
        <f>'Income Statement Year 2'!B13</f>
        <v>285</v>
      </c>
      <c r="C19" s="21">
        <f>'Income Statement Year 2'!C13</f>
        <v>190</v>
      </c>
      <c r="D19" s="21">
        <f>'Income Statement Year 2'!D13</f>
        <v>76</v>
      </c>
      <c r="E19" s="21">
        <f>'Income Statement Year 2'!E13</f>
        <v>76</v>
      </c>
      <c r="F19" s="21">
        <f>'Income Statement Year 2'!F13</f>
        <v>76</v>
      </c>
      <c r="G19" s="21">
        <f>'Income Statement Year 2'!G13</f>
        <v>66.5</v>
      </c>
      <c r="H19" s="21">
        <f>'Income Statement Year 2'!H13</f>
        <v>66.5</v>
      </c>
      <c r="I19" s="21">
        <f>'Income Statement Year 2'!I13</f>
        <v>66.5</v>
      </c>
      <c r="J19" s="21">
        <f>'Income Statement Year 2'!J13</f>
        <v>66.5</v>
      </c>
      <c r="K19" s="21">
        <f>'Income Statement Year 2'!K13</f>
        <v>114</v>
      </c>
      <c r="L19" s="21">
        <f>'Income Statement Year 2'!L13</f>
        <v>351.5</v>
      </c>
      <c r="M19" s="97">
        <f>'Income Statement Year 2'!M13</f>
        <v>570</v>
      </c>
    </row>
    <row r="20" spans="1:13" x14ac:dyDescent="0.25">
      <c r="A20" s="79" t="s">
        <v>74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98">
        <v>0</v>
      </c>
    </row>
    <row r="21" spans="1:13" x14ac:dyDescent="0.25">
      <c r="A21" s="79" t="s">
        <v>75</v>
      </c>
      <c r="B21" s="21">
        <f>'Income Statement Year 2'!B20-B19</f>
        <v>238.5</v>
      </c>
      <c r="C21" s="21">
        <f>'Income Statement Year 2'!C20-C19</f>
        <v>198.5</v>
      </c>
      <c r="D21" s="21">
        <f>'Income Statement Year 2'!D20-D19</f>
        <v>163.5</v>
      </c>
      <c r="E21" s="21">
        <f>'Income Statement Year 2'!E20-E19</f>
        <v>163.5</v>
      </c>
      <c r="F21" s="21">
        <f>'Income Statement Year 2'!F20-F19</f>
        <v>163.5</v>
      </c>
      <c r="G21" s="21">
        <f>'Income Statement Year 2'!G20-G19</f>
        <v>163.5</v>
      </c>
      <c r="H21" s="21">
        <f>'Income Statement Year 2'!H20-H19</f>
        <v>163.5</v>
      </c>
      <c r="I21" s="21">
        <f>'Income Statement Year 2'!I20-I19</f>
        <v>163.5</v>
      </c>
      <c r="J21" s="21">
        <f>'Income Statement Year 2'!J20-J19</f>
        <v>163.5</v>
      </c>
      <c r="K21" s="21">
        <f>'Income Statement Year 2'!K20-K19</f>
        <v>173.5</v>
      </c>
      <c r="L21" s="21">
        <f>'Income Statement Year 2'!L20-L19</f>
        <v>258.5</v>
      </c>
      <c r="M21" s="97">
        <f>'Income Statement Year 2'!M20-M19</f>
        <v>338.5</v>
      </c>
    </row>
    <row r="22" spans="1:13" x14ac:dyDescent="0.25">
      <c r="A22" s="79"/>
      <c r="M22" s="80"/>
    </row>
    <row r="23" spans="1:13" x14ac:dyDescent="0.25">
      <c r="A23" s="99" t="s">
        <v>76</v>
      </c>
      <c r="B23" s="40">
        <f>SUM(B19:B21)</f>
        <v>523.5</v>
      </c>
      <c r="C23" s="40">
        <f t="shared" ref="C23:M23" si="4">SUM(C19:C21)</f>
        <v>388.5</v>
      </c>
      <c r="D23" s="40">
        <f t="shared" si="4"/>
        <v>239.5</v>
      </c>
      <c r="E23" s="40">
        <f t="shared" si="4"/>
        <v>239.5</v>
      </c>
      <c r="F23" s="40">
        <f t="shared" si="4"/>
        <v>239.5</v>
      </c>
      <c r="G23" s="40">
        <f t="shared" si="4"/>
        <v>230</v>
      </c>
      <c r="H23" s="40">
        <f t="shared" si="4"/>
        <v>230</v>
      </c>
      <c r="I23" s="40">
        <f t="shared" si="4"/>
        <v>230</v>
      </c>
      <c r="J23" s="40">
        <f t="shared" si="4"/>
        <v>230</v>
      </c>
      <c r="K23" s="40">
        <f t="shared" si="4"/>
        <v>287.5</v>
      </c>
      <c r="L23" s="40">
        <f t="shared" si="4"/>
        <v>610</v>
      </c>
      <c r="M23" s="96">
        <f t="shared" si="4"/>
        <v>908.5</v>
      </c>
    </row>
    <row r="24" spans="1:13" x14ac:dyDescent="0.25">
      <c r="A24" s="79"/>
      <c r="M24" s="80"/>
    </row>
    <row r="25" spans="1:13" x14ac:dyDescent="0.25">
      <c r="A25" s="79"/>
      <c r="M25" s="80"/>
    </row>
    <row r="26" spans="1:13" x14ac:dyDescent="0.25">
      <c r="A26" s="84" t="s">
        <v>78</v>
      </c>
      <c r="B26" s="40">
        <f>B16+B23</f>
        <v>923.5</v>
      </c>
      <c r="C26" s="40">
        <f t="shared" ref="C26:M26" si="5">C16+C23</f>
        <v>708.5</v>
      </c>
      <c r="D26" s="40">
        <f t="shared" si="5"/>
        <v>359.5</v>
      </c>
      <c r="E26" s="40">
        <f t="shared" si="5"/>
        <v>359.5</v>
      </c>
      <c r="F26" s="40">
        <f t="shared" si="5"/>
        <v>359.5</v>
      </c>
      <c r="G26" s="40">
        <f t="shared" si="5"/>
        <v>350</v>
      </c>
      <c r="H26" s="40">
        <f t="shared" si="5"/>
        <v>350</v>
      </c>
      <c r="I26" s="40">
        <f t="shared" si="5"/>
        <v>350</v>
      </c>
      <c r="J26" s="40">
        <f t="shared" si="5"/>
        <v>350</v>
      </c>
      <c r="K26" s="40">
        <f t="shared" si="5"/>
        <v>487.5</v>
      </c>
      <c r="L26" s="40">
        <f t="shared" si="5"/>
        <v>1210</v>
      </c>
      <c r="M26" s="96">
        <f t="shared" si="5"/>
        <v>1708.5</v>
      </c>
    </row>
    <row r="27" spans="1:13" x14ac:dyDescent="0.25">
      <c r="A27" s="79"/>
      <c r="M27" s="80"/>
    </row>
    <row r="28" spans="1:13" x14ac:dyDescent="0.25">
      <c r="A28" s="79" t="s">
        <v>79</v>
      </c>
      <c r="B28" s="35">
        <f>B11</f>
        <v>3151</v>
      </c>
      <c r="C28" s="35">
        <f>C11</f>
        <v>3367.5</v>
      </c>
      <c r="D28" s="35">
        <f t="shared" ref="D28:M28" si="6">D11</f>
        <v>3044</v>
      </c>
      <c r="E28" s="35">
        <f t="shared" si="6"/>
        <v>3069.5</v>
      </c>
      <c r="F28" s="35">
        <f t="shared" si="6"/>
        <v>3095</v>
      </c>
      <c r="G28" s="35">
        <f t="shared" si="6"/>
        <v>3070.5</v>
      </c>
      <c r="H28" s="35">
        <f t="shared" si="6"/>
        <v>3163.5</v>
      </c>
      <c r="I28" s="35">
        <f t="shared" si="6"/>
        <v>3148.5</v>
      </c>
      <c r="J28" s="35">
        <f t="shared" si="6"/>
        <v>3133.5</v>
      </c>
      <c r="K28" s="35">
        <f t="shared" si="6"/>
        <v>3358.5</v>
      </c>
      <c r="L28" s="35">
        <f t="shared" si="6"/>
        <v>4754</v>
      </c>
      <c r="M28" s="98">
        <f t="shared" si="6"/>
        <v>6732</v>
      </c>
    </row>
    <row r="29" spans="1:13" x14ac:dyDescent="0.25">
      <c r="A29" s="79" t="s">
        <v>80</v>
      </c>
      <c r="B29" s="35">
        <f>B26</f>
        <v>923.5</v>
      </c>
      <c r="C29" s="35">
        <f t="shared" ref="C29:M29" si="7">C26</f>
        <v>708.5</v>
      </c>
      <c r="D29" s="35">
        <f t="shared" si="7"/>
        <v>359.5</v>
      </c>
      <c r="E29" s="35">
        <f t="shared" si="7"/>
        <v>359.5</v>
      </c>
      <c r="F29" s="35">
        <f t="shared" si="7"/>
        <v>359.5</v>
      </c>
      <c r="G29" s="35">
        <f t="shared" si="7"/>
        <v>350</v>
      </c>
      <c r="H29" s="35">
        <f t="shared" si="7"/>
        <v>350</v>
      </c>
      <c r="I29" s="35">
        <f t="shared" si="7"/>
        <v>350</v>
      </c>
      <c r="J29" s="35">
        <f t="shared" si="7"/>
        <v>350</v>
      </c>
      <c r="K29" s="35">
        <f t="shared" si="7"/>
        <v>487.5</v>
      </c>
      <c r="L29" s="35">
        <f t="shared" si="7"/>
        <v>1210</v>
      </c>
      <c r="M29" s="98">
        <f t="shared" si="7"/>
        <v>1708.5</v>
      </c>
    </row>
    <row r="30" spans="1:13" x14ac:dyDescent="0.25">
      <c r="A30" s="7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98"/>
    </row>
    <row r="31" spans="1:13" x14ac:dyDescent="0.25">
      <c r="A31" s="84" t="s">
        <v>83</v>
      </c>
      <c r="B31" s="40">
        <f>B28-B29</f>
        <v>2227.5</v>
      </c>
      <c r="C31" s="40">
        <f t="shared" ref="C31:M31" si="8">C28-C29</f>
        <v>2659</v>
      </c>
      <c r="D31" s="40">
        <f t="shared" si="8"/>
        <v>2684.5</v>
      </c>
      <c r="E31" s="40">
        <f t="shared" si="8"/>
        <v>2710</v>
      </c>
      <c r="F31" s="40">
        <f t="shared" si="8"/>
        <v>2735.5</v>
      </c>
      <c r="G31" s="40">
        <f t="shared" si="8"/>
        <v>2720.5</v>
      </c>
      <c r="H31" s="40">
        <f t="shared" si="8"/>
        <v>2813.5</v>
      </c>
      <c r="I31" s="40">
        <f t="shared" si="8"/>
        <v>2798.5</v>
      </c>
      <c r="J31" s="40">
        <f t="shared" si="8"/>
        <v>2783.5</v>
      </c>
      <c r="K31" s="40">
        <f t="shared" si="8"/>
        <v>2871</v>
      </c>
      <c r="L31" s="40">
        <f t="shared" si="8"/>
        <v>3544</v>
      </c>
      <c r="M31" s="96">
        <f t="shared" si="8"/>
        <v>5023.5</v>
      </c>
    </row>
    <row r="32" spans="1:13" x14ac:dyDescent="0.25">
      <c r="A32" s="79" t="s">
        <v>84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98"/>
    </row>
    <row r="33" spans="1:14" ht="16.5" thickBot="1" x14ac:dyDescent="0.3">
      <c r="A33" s="101" t="s">
        <v>85</v>
      </c>
      <c r="B33" s="102">
        <f>B31-B32</f>
        <v>2227.5</v>
      </c>
      <c r="C33" s="102">
        <f t="shared" ref="C33:M33" si="9">C31-C32</f>
        <v>2659</v>
      </c>
      <c r="D33" s="102">
        <f t="shared" si="9"/>
        <v>2684.5</v>
      </c>
      <c r="E33" s="102">
        <f t="shared" si="9"/>
        <v>2710</v>
      </c>
      <c r="F33" s="102">
        <f t="shared" si="9"/>
        <v>2735.5</v>
      </c>
      <c r="G33" s="102">
        <f t="shared" si="9"/>
        <v>2720.5</v>
      </c>
      <c r="H33" s="102">
        <f t="shared" si="9"/>
        <v>2813.5</v>
      </c>
      <c r="I33" s="102">
        <f t="shared" si="9"/>
        <v>2798.5</v>
      </c>
      <c r="J33" s="102">
        <f t="shared" si="9"/>
        <v>2783.5</v>
      </c>
      <c r="K33" s="102">
        <f t="shared" si="9"/>
        <v>2871</v>
      </c>
      <c r="L33" s="102">
        <f t="shared" si="9"/>
        <v>3544</v>
      </c>
      <c r="M33" s="103">
        <f t="shared" si="9"/>
        <v>5023.5</v>
      </c>
      <c r="N33" s="14"/>
    </row>
    <row r="34" spans="1:14" x14ac:dyDescent="0.25">
      <c r="N34" s="15"/>
    </row>
    <row r="35" spans="1:14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16"/>
    </row>
    <row r="36" spans="1:14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7"/>
    </row>
    <row r="37" spans="1:14" ht="17.25" x14ac:dyDescent="0.25">
      <c r="C37" s="13"/>
      <c r="N37" s="17"/>
    </row>
    <row r="38" spans="1:14" x14ac:dyDescent="0.25">
      <c r="N38" s="18"/>
    </row>
    <row r="39" spans="1:14" x14ac:dyDescent="0.25">
      <c r="N39" s="18"/>
    </row>
    <row r="40" spans="1:14" x14ac:dyDescent="0.25">
      <c r="N40" s="17"/>
    </row>
    <row r="41" spans="1:14" x14ac:dyDescent="0.25">
      <c r="N41" s="19"/>
    </row>
    <row r="42" spans="1:14" x14ac:dyDescent="0.25">
      <c r="N42" s="15"/>
    </row>
    <row r="43" spans="1:14" x14ac:dyDescent="0.25">
      <c r="N43" s="14"/>
    </row>
    <row r="44" spans="1:14" x14ac:dyDescent="0.25">
      <c r="N44" s="14"/>
    </row>
    <row r="45" spans="1:14" x14ac:dyDescent="0.25">
      <c r="N45" s="14"/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AE2FF-B9A8-4459-92CE-26FBDF76CFB5}">
  <dimension ref="A1:N45"/>
  <sheetViews>
    <sheetView zoomScale="69" zoomScaleNormal="69" workbookViewId="0">
      <selection activeCell="Q36" sqref="Q36"/>
    </sheetView>
  </sheetViews>
  <sheetFormatPr defaultColWidth="11" defaultRowHeight="15.75" x14ac:dyDescent="0.25"/>
  <cols>
    <col min="1" max="1" width="34.875" bestFit="1" customWidth="1"/>
    <col min="12" max="13" width="12.125" bestFit="1" customWidth="1"/>
  </cols>
  <sheetData>
    <row r="1" spans="1:13" ht="33" customHeight="1" x14ac:dyDescent="0.35">
      <c r="A1" s="140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x14ac:dyDescent="0.25">
      <c r="A2" s="79"/>
      <c r="B2" s="94" t="s">
        <v>9</v>
      </c>
      <c r="C2" s="94" t="s">
        <v>10</v>
      </c>
      <c r="D2" s="94" t="s">
        <v>11</v>
      </c>
      <c r="E2" s="94" t="s">
        <v>12</v>
      </c>
      <c r="F2" s="94" t="s">
        <v>13</v>
      </c>
      <c r="G2" s="94" t="s">
        <v>14</v>
      </c>
      <c r="H2" s="94" t="s">
        <v>15</v>
      </c>
      <c r="I2" s="94" t="s">
        <v>16</v>
      </c>
      <c r="J2" s="94" t="s">
        <v>17</v>
      </c>
      <c r="K2" s="94" t="s">
        <v>18</v>
      </c>
      <c r="L2" s="94" t="s">
        <v>19</v>
      </c>
      <c r="M2" s="95" t="s">
        <v>20</v>
      </c>
    </row>
    <row r="3" spans="1:13" x14ac:dyDescent="0.25">
      <c r="A3" s="84" t="s">
        <v>66</v>
      </c>
      <c r="B3" s="40">
        <f>'Cash Flow Year 2'!M33</f>
        <v>5023.5</v>
      </c>
      <c r="C3" s="40">
        <f>+B31</f>
        <v>6325.5</v>
      </c>
      <c r="D3" s="40">
        <f t="shared" ref="D3:M3" si="0">+C31</f>
        <v>7187</v>
      </c>
      <c r="E3" s="40">
        <f t="shared" si="0"/>
        <v>7438.5</v>
      </c>
      <c r="F3" s="40">
        <f t="shared" si="0"/>
        <v>7464</v>
      </c>
      <c r="G3" s="40">
        <f t="shared" si="0"/>
        <v>7489.5</v>
      </c>
      <c r="H3" s="40">
        <f t="shared" si="0"/>
        <v>7474.5</v>
      </c>
      <c r="I3" s="40">
        <f t="shared" si="0"/>
        <v>7567.5</v>
      </c>
      <c r="J3" s="40">
        <f t="shared" si="0"/>
        <v>7552.5</v>
      </c>
      <c r="K3" s="40">
        <f t="shared" si="0"/>
        <v>7771.5</v>
      </c>
      <c r="L3" s="40">
        <f t="shared" si="0"/>
        <v>8292</v>
      </c>
      <c r="M3" s="96">
        <f t="shared" si="0"/>
        <v>11036.5</v>
      </c>
    </row>
    <row r="4" spans="1:13" x14ac:dyDescent="0.25">
      <c r="A4" s="79"/>
      <c r="M4" s="80"/>
    </row>
    <row r="5" spans="1:13" x14ac:dyDescent="0.25">
      <c r="A5" s="81" t="s">
        <v>69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82"/>
    </row>
    <row r="6" spans="1:13" x14ac:dyDescent="0.25">
      <c r="A6" s="79" t="s">
        <v>68</v>
      </c>
      <c r="B6" s="21">
        <f>'Income Statement Year 3'!B7</f>
        <v>2938</v>
      </c>
      <c r="C6" s="21">
        <f>'Income Statement Year 3'!C7</f>
        <v>2105</v>
      </c>
      <c r="D6" s="21">
        <f>'Income Statement Year 3'!D7</f>
        <v>960</v>
      </c>
      <c r="E6" s="21">
        <f>'Income Statement Year 3'!E7</f>
        <v>385</v>
      </c>
      <c r="F6" s="21">
        <f>'Income Statement Year 3'!F7</f>
        <v>385</v>
      </c>
      <c r="G6" s="21">
        <f>'Income Statement Year 3'!G7</f>
        <v>335</v>
      </c>
      <c r="H6" s="21">
        <f>'Income Statement Year 3'!H7</f>
        <v>443</v>
      </c>
      <c r="I6" s="21">
        <f>'Income Statement Year 3'!I7</f>
        <v>335</v>
      </c>
      <c r="J6" s="21">
        <f>'Income Statement Year 3'!J7</f>
        <v>725</v>
      </c>
      <c r="K6" s="21">
        <f>'Income Statement Year 3'!K7</f>
        <v>1350</v>
      </c>
      <c r="L6" s="21">
        <f>'Income Statement Year 3'!L7</f>
        <v>4638</v>
      </c>
      <c r="M6" s="97">
        <f>'Income Statement Year 3'!M7</f>
        <v>3260</v>
      </c>
    </row>
    <row r="7" spans="1:13" x14ac:dyDescent="0.25">
      <c r="A7" s="79" t="s">
        <v>67</v>
      </c>
      <c r="M7" s="80"/>
    </row>
    <row r="8" spans="1:13" x14ac:dyDescent="0.25">
      <c r="A8" s="79"/>
      <c r="M8" s="80"/>
    </row>
    <row r="9" spans="1:13" x14ac:dyDescent="0.25">
      <c r="A9" s="84" t="s">
        <v>70</v>
      </c>
      <c r="B9" s="40">
        <f>B6+B7</f>
        <v>2938</v>
      </c>
      <c r="C9" s="40">
        <f t="shared" ref="C9:M9" si="1">C6+C7</f>
        <v>2105</v>
      </c>
      <c r="D9" s="40">
        <f t="shared" si="1"/>
        <v>960</v>
      </c>
      <c r="E9" s="40">
        <f t="shared" si="1"/>
        <v>385</v>
      </c>
      <c r="F9" s="40">
        <f t="shared" si="1"/>
        <v>385</v>
      </c>
      <c r="G9" s="40">
        <f t="shared" si="1"/>
        <v>335</v>
      </c>
      <c r="H9" s="40">
        <f t="shared" si="1"/>
        <v>443</v>
      </c>
      <c r="I9" s="40">
        <f t="shared" si="1"/>
        <v>335</v>
      </c>
      <c r="J9" s="40">
        <f t="shared" si="1"/>
        <v>725</v>
      </c>
      <c r="K9" s="40">
        <f t="shared" si="1"/>
        <v>1350</v>
      </c>
      <c r="L9" s="40">
        <f t="shared" si="1"/>
        <v>4638</v>
      </c>
      <c r="M9" s="96">
        <f t="shared" si="1"/>
        <v>3260</v>
      </c>
    </row>
    <row r="10" spans="1:13" x14ac:dyDescent="0.25">
      <c r="A10" s="90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98"/>
    </row>
    <row r="11" spans="1:13" x14ac:dyDescent="0.25">
      <c r="A11" s="84" t="s">
        <v>81</v>
      </c>
      <c r="B11" s="40">
        <f>B3+B9</f>
        <v>7961.5</v>
      </c>
      <c r="C11" s="40">
        <f t="shared" ref="C11:M11" si="2">C3+C9</f>
        <v>8430.5</v>
      </c>
      <c r="D11" s="40">
        <f t="shared" si="2"/>
        <v>8147</v>
      </c>
      <c r="E11" s="40">
        <f t="shared" si="2"/>
        <v>7823.5</v>
      </c>
      <c r="F11" s="40">
        <f t="shared" si="2"/>
        <v>7849</v>
      </c>
      <c r="G11" s="40">
        <f t="shared" si="2"/>
        <v>7824.5</v>
      </c>
      <c r="H11" s="40">
        <f t="shared" si="2"/>
        <v>7917.5</v>
      </c>
      <c r="I11" s="40">
        <f t="shared" si="2"/>
        <v>7902.5</v>
      </c>
      <c r="J11" s="40">
        <f t="shared" si="2"/>
        <v>8277.5</v>
      </c>
      <c r="K11" s="40">
        <f t="shared" si="2"/>
        <v>9121.5</v>
      </c>
      <c r="L11" s="40">
        <f t="shared" si="2"/>
        <v>12930</v>
      </c>
      <c r="M11" s="96">
        <f t="shared" si="2"/>
        <v>14296.5</v>
      </c>
    </row>
    <row r="12" spans="1:13" x14ac:dyDescent="0.25">
      <c r="A12" s="79"/>
      <c r="M12" s="80"/>
    </row>
    <row r="13" spans="1:13" x14ac:dyDescent="0.25">
      <c r="A13" s="81" t="s">
        <v>71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82"/>
    </row>
    <row r="14" spans="1:13" x14ac:dyDescent="0.25">
      <c r="A14" s="79" t="s">
        <v>50</v>
      </c>
      <c r="B14" s="21">
        <f>'Income Statement Year 3'!B8</f>
        <v>800</v>
      </c>
      <c r="C14" s="21">
        <f>'Income Statement Year 3'!C8</f>
        <v>600</v>
      </c>
      <c r="D14" s="21">
        <f>'Income Statement Year 3'!D8</f>
        <v>320</v>
      </c>
      <c r="E14" s="21">
        <f>'Income Statement Year 3'!E8</f>
        <v>120</v>
      </c>
      <c r="F14" s="21">
        <f>'Income Statement Year 3'!F8</f>
        <v>120</v>
      </c>
      <c r="G14" s="21">
        <f>'Income Statement Year 3'!G8</f>
        <v>120</v>
      </c>
      <c r="H14" s="21">
        <f>'Income Statement Year 3'!H8</f>
        <v>120</v>
      </c>
      <c r="I14" s="21">
        <f>'Income Statement Year 3'!I8</f>
        <v>120</v>
      </c>
      <c r="J14" s="21">
        <f>'Income Statement Year 3'!J8</f>
        <v>200</v>
      </c>
      <c r="K14" s="21">
        <f>'Income Statement Year 3'!K8</f>
        <v>400</v>
      </c>
      <c r="L14" s="21">
        <f>'Income Statement Year 3'!L8</f>
        <v>600</v>
      </c>
      <c r="M14" s="97">
        <f>'Income Statement Year 3'!M8</f>
        <v>800</v>
      </c>
    </row>
    <row r="15" spans="1:13" x14ac:dyDescent="0.25">
      <c r="A15" s="79"/>
      <c r="M15" s="80"/>
    </row>
    <row r="16" spans="1:13" x14ac:dyDescent="0.25">
      <c r="A16" s="99" t="s">
        <v>77</v>
      </c>
      <c r="B16" s="40">
        <f>B14+B15</f>
        <v>800</v>
      </c>
      <c r="C16" s="40">
        <f t="shared" ref="C16:L16" si="3">C14+C15</f>
        <v>600</v>
      </c>
      <c r="D16" s="40">
        <f t="shared" si="3"/>
        <v>320</v>
      </c>
      <c r="E16" s="40">
        <f t="shared" si="3"/>
        <v>120</v>
      </c>
      <c r="F16" s="40">
        <f t="shared" si="3"/>
        <v>120</v>
      </c>
      <c r="G16" s="40">
        <f t="shared" si="3"/>
        <v>120</v>
      </c>
      <c r="H16" s="40">
        <f t="shared" si="3"/>
        <v>120</v>
      </c>
      <c r="I16" s="40">
        <f t="shared" si="3"/>
        <v>120</v>
      </c>
      <c r="J16" s="40">
        <f t="shared" si="3"/>
        <v>200</v>
      </c>
      <c r="K16" s="40">
        <f t="shared" si="3"/>
        <v>400</v>
      </c>
      <c r="L16" s="40">
        <f t="shared" si="3"/>
        <v>600</v>
      </c>
      <c r="M16" s="96">
        <f>M14+M15</f>
        <v>800</v>
      </c>
    </row>
    <row r="17" spans="1:13" x14ac:dyDescent="0.25">
      <c r="A17" s="100"/>
      <c r="M17" s="80"/>
    </row>
    <row r="18" spans="1:13" x14ac:dyDescent="0.25">
      <c r="A18" s="81" t="s">
        <v>72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82"/>
    </row>
    <row r="19" spans="1:13" x14ac:dyDescent="0.25">
      <c r="A19" s="79" t="s">
        <v>73</v>
      </c>
      <c r="B19" s="21">
        <f>'Income Statement Year 3'!B13</f>
        <v>522.5</v>
      </c>
      <c r="C19" s="21">
        <f>'Income Statement Year 3'!C13</f>
        <v>380</v>
      </c>
      <c r="D19" s="21">
        <f>'Income Statement Year 3'!D13</f>
        <v>190</v>
      </c>
      <c r="E19" s="21">
        <f>'Income Statement Year 3'!E13</f>
        <v>76</v>
      </c>
      <c r="F19" s="21">
        <f>'Income Statement Year 3'!F13</f>
        <v>76</v>
      </c>
      <c r="G19" s="21">
        <f>'Income Statement Year 3'!G13</f>
        <v>66.5</v>
      </c>
      <c r="H19" s="21">
        <f>'Income Statement Year 3'!H13</f>
        <v>66.5</v>
      </c>
      <c r="I19" s="21">
        <f>'Income Statement Year 3'!I13</f>
        <v>66.5</v>
      </c>
      <c r="J19" s="21">
        <f>'Income Statement Year 3'!J13</f>
        <v>142.5</v>
      </c>
      <c r="K19" s="21">
        <f>'Income Statement Year 3'!K13</f>
        <v>266</v>
      </c>
      <c r="L19" s="21">
        <f>'Income Statement Year 3'!L13</f>
        <v>855</v>
      </c>
      <c r="M19" s="97">
        <f>'Income Statement Year 3'!M13</f>
        <v>570</v>
      </c>
    </row>
    <row r="20" spans="1:13" x14ac:dyDescent="0.25">
      <c r="A20" s="79" t="s">
        <v>74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98">
        <v>0</v>
      </c>
    </row>
    <row r="21" spans="1:13" x14ac:dyDescent="0.25">
      <c r="A21" s="79" t="s">
        <v>75</v>
      </c>
      <c r="B21" s="21">
        <f>'Income Statement Year 3'!B20-B19</f>
        <v>313.5</v>
      </c>
      <c r="C21" s="21">
        <f>'Income Statement Year 3'!C20-C19</f>
        <v>263.5</v>
      </c>
      <c r="D21" s="21">
        <f>'Income Statement Year 3'!D20-D19</f>
        <v>198.5</v>
      </c>
      <c r="E21" s="21">
        <f>'Income Statement Year 3'!E20-E19</f>
        <v>163.5</v>
      </c>
      <c r="F21" s="21">
        <f>'Income Statement Year 3'!F20-F19</f>
        <v>163.5</v>
      </c>
      <c r="G21" s="21">
        <f>'Income Statement Year 3'!G20-G19</f>
        <v>163.5</v>
      </c>
      <c r="H21" s="21">
        <f>'Income Statement Year 3'!H20-H19</f>
        <v>163.5</v>
      </c>
      <c r="I21" s="21">
        <f>'Income Statement Year 3'!I20-I19</f>
        <v>163.5</v>
      </c>
      <c r="J21" s="21">
        <f>'Income Statement Year 3'!J20-J19</f>
        <v>163.5</v>
      </c>
      <c r="K21" s="21">
        <f>'Income Statement Year 3'!K20-K19</f>
        <v>163.5</v>
      </c>
      <c r="L21" s="21">
        <f>'Income Statement Year 3'!L20-L19</f>
        <v>438.5</v>
      </c>
      <c r="M21" s="97">
        <f>'Income Statement Year 3'!M20-M19</f>
        <v>338.5</v>
      </c>
    </row>
    <row r="22" spans="1:13" x14ac:dyDescent="0.25">
      <c r="A22" s="79"/>
      <c r="M22" s="80"/>
    </row>
    <row r="23" spans="1:13" x14ac:dyDescent="0.25">
      <c r="A23" s="99" t="s">
        <v>76</v>
      </c>
      <c r="B23" s="40">
        <f>SUM(B19:B21)</f>
        <v>836</v>
      </c>
      <c r="C23" s="40">
        <f t="shared" ref="C23:M23" si="4">SUM(C19:C21)</f>
        <v>643.5</v>
      </c>
      <c r="D23" s="40">
        <f t="shared" si="4"/>
        <v>388.5</v>
      </c>
      <c r="E23" s="40">
        <f t="shared" si="4"/>
        <v>239.5</v>
      </c>
      <c r="F23" s="40">
        <f t="shared" si="4"/>
        <v>239.5</v>
      </c>
      <c r="G23" s="40">
        <f t="shared" si="4"/>
        <v>230</v>
      </c>
      <c r="H23" s="40">
        <f t="shared" si="4"/>
        <v>230</v>
      </c>
      <c r="I23" s="40">
        <f t="shared" si="4"/>
        <v>230</v>
      </c>
      <c r="J23" s="40">
        <f t="shared" si="4"/>
        <v>306</v>
      </c>
      <c r="K23" s="40">
        <f t="shared" si="4"/>
        <v>429.5</v>
      </c>
      <c r="L23" s="40">
        <f t="shared" si="4"/>
        <v>1293.5</v>
      </c>
      <c r="M23" s="96">
        <f t="shared" si="4"/>
        <v>908.5</v>
      </c>
    </row>
    <row r="24" spans="1:13" x14ac:dyDescent="0.25">
      <c r="A24" s="79"/>
      <c r="M24" s="80"/>
    </row>
    <row r="25" spans="1:13" x14ac:dyDescent="0.25">
      <c r="A25" s="79"/>
      <c r="M25" s="80"/>
    </row>
    <row r="26" spans="1:13" x14ac:dyDescent="0.25">
      <c r="A26" s="84" t="s">
        <v>78</v>
      </c>
      <c r="B26" s="40">
        <f>B16+B23</f>
        <v>1636</v>
      </c>
      <c r="C26" s="40">
        <f t="shared" ref="C26:M26" si="5">C16+C23</f>
        <v>1243.5</v>
      </c>
      <c r="D26" s="40">
        <f t="shared" si="5"/>
        <v>708.5</v>
      </c>
      <c r="E26" s="40">
        <f t="shared" si="5"/>
        <v>359.5</v>
      </c>
      <c r="F26" s="40">
        <f t="shared" si="5"/>
        <v>359.5</v>
      </c>
      <c r="G26" s="40">
        <f t="shared" si="5"/>
        <v>350</v>
      </c>
      <c r="H26" s="40">
        <f t="shared" si="5"/>
        <v>350</v>
      </c>
      <c r="I26" s="40">
        <f t="shared" si="5"/>
        <v>350</v>
      </c>
      <c r="J26" s="40">
        <f t="shared" si="5"/>
        <v>506</v>
      </c>
      <c r="K26" s="40">
        <f t="shared" si="5"/>
        <v>829.5</v>
      </c>
      <c r="L26" s="40">
        <f t="shared" si="5"/>
        <v>1893.5</v>
      </c>
      <c r="M26" s="96">
        <f t="shared" si="5"/>
        <v>1708.5</v>
      </c>
    </row>
    <row r="27" spans="1:13" x14ac:dyDescent="0.25">
      <c r="A27" s="79"/>
      <c r="M27" s="80"/>
    </row>
    <row r="28" spans="1:13" x14ac:dyDescent="0.25">
      <c r="A28" s="79" t="s">
        <v>79</v>
      </c>
      <c r="B28" s="35">
        <f>B11</f>
        <v>7961.5</v>
      </c>
      <c r="C28" s="35">
        <f>C11</f>
        <v>8430.5</v>
      </c>
      <c r="D28" s="35">
        <f t="shared" ref="D28:M28" si="6">D11</f>
        <v>8147</v>
      </c>
      <c r="E28" s="35">
        <f t="shared" si="6"/>
        <v>7823.5</v>
      </c>
      <c r="F28" s="35">
        <f t="shared" si="6"/>
        <v>7849</v>
      </c>
      <c r="G28" s="35">
        <f t="shared" si="6"/>
        <v>7824.5</v>
      </c>
      <c r="H28" s="35">
        <f t="shared" si="6"/>
        <v>7917.5</v>
      </c>
      <c r="I28" s="35">
        <f t="shared" si="6"/>
        <v>7902.5</v>
      </c>
      <c r="J28" s="35">
        <f t="shared" si="6"/>
        <v>8277.5</v>
      </c>
      <c r="K28" s="35">
        <f t="shared" si="6"/>
        <v>9121.5</v>
      </c>
      <c r="L28" s="35">
        <f t="shared" si="6"/>
        <v>12930</v>
      </c>
      <c r="M28" s="98">
        <f t="shared" si="6"/>
        <v>14296.5</v>
      </c>
    </row>
    <row r="29" spans="1:13" x14ac:dyDescent="0.25">
      <c r="A29" s="79" t="s">
        <v>80</v>
      </c>
      <c r="B29" s="35">
        <f>B26</f>
        <v>1636</v>
      </c>
      <c r="C29" s="35">
        <f t="shared" ref="C29:M29" si="7">C26</f>
        <v>1243.5</v>
      </c>
      <c r="D29" s="35">
        <f t="shared" si="7"/>
        <v>708.5</v>
      </c>
      <c r="E29" s="35">
        <f t="shared" si="7"/>
        <v>359.5</v>
      </c>
      <c r="F29" s="35">
        <f t="shared" si="7"/>
        <v>359.5</v>
      </c>
      <c r="G29" s="35">
        <f t="shared" si="7"/>
        <v>350</v>
      </c>
      <c r="H29" s="35">
        <f t="shared" si="7"/>
        <v>350</v>
      </c>
      <c r="I29" s="35">
        <f t="shared" si="7"/>
        <v>350</v>
      </c>
      <c r="J29" s="35">
        <f t="shared" si="7"/>
        <v>506</v>
      </c>
      <c r="K29" s="35">
        <f t="shared" si="7"/>
        <v>829.5</v>
      </c>
      <c r="L29" s="35">
        <f t="shared" si="7"/>
        <v>1893.5</v>
      </c>
      <c r="M29" s="98">
        <f t="shared" si="7"/>
        <v>1708.5</v>
      </c>
    </row>
    <row r="30" spans="1:13" x14ac:dyDescent="0.25">
      <c r="A30" s="7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98"/>
    </row>
    <row r="31" spans="1:13" x14ac:dyDescent="0.25">
      <c r="A31" s="84" t="s">
        <v>83</v>
      </c>
      <c r="B31" s="40">
        <f>B28-B29</f>
        <v>6325.5</v>
      </c>
      <c r="C31" s="40">
        <f t="shared" ref="C31:M31" si="8">C28-C29</f>
        <v>7187</v>
      </c>
      <c r="D31" s="40">
        <f t="shared" si="8"/>
        <v>7438.5</v>
      </c>
      <c r="E31" s="40">
        <f>E28-E29</f>
        <v>7464</v>
      </c>
      <c r="F31" s="40">
        <f t="shared" si="8"/>
        <v>7489.5</v>
      </c>
      <c r="G31" s="40">
        <f t="shared" si="8"/>
        <v>7474.5</v>
      </c>
      <c r="H31" s="40">
        <f t="shared" si="8"/>
        <v>7567.5</v>
      </c>
      <c r="I31" s="40">
        <f t="shared" si="8"/>
        <v>7552.5</v>
      </c>
      <c r="J31" s="40">
        <f t="shared" si="8"/>
        <v>7771.5</v>
      </c>
      <c r="K31" s="40">
        <f t="shared" si="8"/>
        <v>8292</v>
      </c>
      <c r="L31" s="40">
        <f t="shared" si="8"/>
        <v>11036.5</v>
      </c>
      <c r="M31" s="96">
        <f t="shared" si="8"/>
        <v>12588</v>
      </c>
    </row>
    <row r="32" spans="1:13" x14ac:dyDescent="0.25">
      <c r="A32" s="79" t="s">
        <v>84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98"/>
    </row>
    <row r="33" spans="1:14" ht="16.5" thickBot="1" x14ac:dyDescent="0.3">
      <c r="A33" s="101" t="s">
        <v>85</v>
      </c>
      <c r="B33" s="102">
        <f>B31-B32</f>
        <v>6325.5</v>
      </c>
      <c r="C33" s="102">
        <f t="shared" ref="C33:M33" si="9">C31-C32</f>
        <v>7187</v>
      </c>
      <c r="D33" s="102">
        <f t="shared" si="9"/>
        <v>7438.5</v>
      </c>
      <c r="E33" s="102">
        <f t="shared" si="9"/>
        <v>7464</v>
      </c>
      <c r="F33" s="102">
        <f t="shared" si="9"/>
        <v>7489.5</v>
      </c>
      <c r="G33" s="102">
        <f t="shared" si="9"/>
        <v>7474.5</v>
      </c>
      <c r="H33" s="102">
        <f t="shared" si="9"/>
        <v>7567.5</v>
      </c>
      <c r="I33" s="102">
        <f t="shared" si="9"/>
        <v>7552.5</v>
      </c>
      <c r="J33" s="102">
        <f t="shared" si="9"/>
        <v>7771.5</v>
      </c>
      <c r="K33" s="102">
        <f t="shared" si="9"/>
        <v>8292</v>
      </c>
      <c r="L33" s="102">
        <f t="shared" si="9"/>
        <v>11036.5</v>
      </c>
      <c r="M33" s="103">
        <f t="shared" si="9"/>
        <v>12588</v>
      </c>
      <c r="N33" s="14"/>
    </row>
    <row r="34" spans="1:14" x14ac:dyDescent="0.25">
      <c r="N34" s="15"/>
    </row>
    <row r="35" spans="1:14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16"/>
    </row>
    <row r="36" spans="1:14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7"/>
    </row>
    <row r="37" spans="1:14" ht="17.25" x14ac:dyDescent="0.25">
      <c r="C37" s="13"/>
      <c r="N37" s="17"/>
    </row>
    <row r="38" spans="1:14" x14ac:dyDescent="0.25">
      <c r="N38" s="18"/>
    </row>
    <row r="39" spans="1:14" x14ac:dyDescent="0.25">
      <c r="N39" s="18"/>
    </row>
    <row r="40" spans="1:14" x14ac:dyDescent="0.25">
      <c r="N40" s="17"/>
    </row>
    <row r="41" spans="1:14" x14ac:dyDescent="0.25">
      <c r="N41" s="19"/>
    </row>
    <row r="42" spans="1:14" x14ac:dyDescent="0.25">
      <c r="N42" s="15"/>
    </row>
    <row r="43" spans="1:14" x14ac:dyDescent="0.25">
      <c r="N43" s="14"/>
    </row>
    <row r="44" spans="1:14" x14ac:dyDescent="0.25">
      <c r="N44" s="14"/>
    </row>
    <row r="45" spans="1:14" x14ac:dyDescent="0.25">
      <c r="N45" s="14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F46"/>
  <sheetViews>
    <sheetView topLeftCell="A3" workbookViewId="0">
      <selection activeCell="F7" sqref="F7"/>
    </sheetView>
  </sheetViews>
  <sheetFormatPr defaultColWidth="11" defaultRowHeight="15.75" x14ac:dyDescent="0.25"/>
  <cols>
    <col min="1" max="1" width="23" customWidth="1"/>
    <col min="3" max="3" width="6.375" customWidth="1"/>
    <col min="4" max="4" width="34.375" customWidth="1"/>
  </cols>
  <sheetData>
    <row r="1" spans="1:6" ht="16.5" thickBot="1" x14ac:dyDescent="0.3"/>
    <row r="2" spans="1:6" x14ac:dyDescent="0.25">
      <c r="A2" s="143" t="s">
        <v>128</v>
      </c>
      <c r="B2" s="144"/>
      <c r="C2" s="144"/>
      <c r="D2" s="144"/>
      <c r="E2" s="145"/>
      <c r="F2" s="1"/>
    </row>
    <row r="3" spans="1:6" x14ac:dyDescent="0.25">
      <c r="A3" s="146" t="s">
        <v>6</v>
      </c>
      <c r="B3" s="147"/>
      <c r="C3" s="147"/>
      <c r="D3" s="147"/>
      <c r="E3" s="148"/>
      <c r="F3" s="1"/>
    </row>
    <row r="4" spans="1:6" x14ac:dyDescent="0.25">
      <c r="A4" s="149" t="s">
        <v>129</v>
      </c>
      <c r="B4" s="150"/>
      <c r="C4" s="150"/>
      <c r="D4" s="150"/>
      <c r="E4" s="151"/>
      <c r="F4" s="1"/>
    </row>
    <row r="5" spans="1:6" x14ac:dyDescent="0.25">
      <c r="A5" s="104" t="s">
        <v>118</v>
      </c>
      <c r="B5" s="105"/>
      <c r="C5" s="105"/>
      <c r="D5" s="106" t="s">
        <v>130</v>
      </c>
      <c r="E5" s="107"/>
    </row>
    <row r="6" spans="1:6" x14ac:dyDescent="0.25">
      <c r="A6" s="104" t="s">
        <v>119</v>
      </c>
      <c r="B6" s="105"/>
      <c r="C6" s="105"/>
      <c r="D6" s="106" t="s">
        <v>131</v>
      </c>
      <c r="E6" s="107"/>
    </row>
    <row r="7" spans="1:6" x14ac:dyDescent="0.25">
      <c r="A7" s="108" t="s">
        <v>120</v>
      </c>
      <c r="B7" s="109">
        <f>'Cash Flow Year 1 '!M33</f>
        <v>1413</v>
      </c>
      <c r="C7" s="109"/>
      <c r="D7" s="105" t="s">
        <v>132</v>
      </c>
      <c r="E7" s="110">
        <f>'Start Up Costs '!B30</f>
        <v>400</v>
      </c>
    </row>
    <row r="8" spans="1:6" x14ac:dyDescent="0.25">
      <c r="A8" s="108" t="s">
        <v>67</v>
      </c>
      <c r="B8" s="109"/>
      <c r="C8" s="109"/>
      <c r="D8" s="105" t="s">
        <v>133</v>
      </c>
      <c r="E8" s="110">
        <v>0</v>
      </c>
    </row>
    <row r="9" spans="1:6" x14ac:dyDescent="0.25">
      <c r="A9" s="108" t="s">
        <v>121</v>
      </c>
      <c r="B9" s="109">
        <f>'Start Up Costs '!F17+'Start Up Costs '!F186+'Start Up Costs '!F19</f>
        <v>2040</v>
      </c>
      <c r="C9" s="109"/>
      <c r="D9" s="105" t="s">
        <v>134</v>
      </c>
      <c r="E9" s="110">
        <v>0</v>
      </c>
    </row>
    <row r="10" spans="1:6" x14ac:dyDescent="0.25">
      <c r="A10" s="108" t="s">
        <v>122</v>
      </c>
      <c r="B10" s="109">
        <f>'Start Up Costs '!B4+('Start Up Costs '!B5)*12</f>
        <v>800</v>
      </c>
      <c r="C10" s="109"/>
      <c r="D10" s="105" t="s">
        <v>135</v>
      </c>
      <c r="E10" s="110">
        <v>0</v>
      </c>
    </row>
    <row r="11" spans="1:6" x14ac:dyDescent="0.25">
      <c r="A11" s="108" t="s">
        <v>123</v>
      </c>
      <c r="B11" s="109">
        <v>300</v>
      </c>
      <c r="C11" s="109"/>
      <c r="D11" s="105"/>
      <c r="E11" s="107"/>
    </row>
    <row r="12" spans="1:6" x14ac:dyDescent="0.25">
      <c r="A12" s="111" t="s">
        <v>124</v>
      </c>
      <c r="B12" s="28">
        <f>B7+B8+B9+B10+B11</f>
        <v>4553</v>
      </c>
      <c r="C12" s="112"/>
      <c r="D12" s="27" t="s">
        <v>136</v>
      </c>
      <c r="E12" s="113">
        <f>E7+E8+E9+E10</f>
        <v>400</v>
      </c>
    </row>
    <row r="13" spans="1:6" x14ac:dyDescent="0.25">
      <c r="A13" s="108"/>
      <c r="B13" s="105"/>
      <c r="C13" s="105"/>
      <c r="D13" s="105"/>
      <c r="E13" s="107"/>
    </row>
    <row r="14" spans="1:6" x14ac:dyDescent="0.25">
      <c r="A14" s="104" t="s">
        <v>125</v>
      </c>
      <c r="B14" s="105"/>
      <c r="C14" s="105"/>
      <c r="D14" s="106" t="s">
        <v>137</v>
      </c>
      <c r="E14" s="107"/>
    </row>
    <row r="15" spans="1:6" x14ac:dyDescent="0.25">
      <c r="A15" s="108" t="s">
        <v>29</v>
      </c>
      <c r="B15" s="112">
        <f>'Start Up Costs '!B11+'Start Up Costs '!B12+'Start Up Costs '!B13+'Start Up Costs '!B14+'Start Up Costs '!B15+'Start Up Costs '!B4</f>
        <v>750</v>
      </c>
      <c r="C15" s="112"/>
      <c r="D15" s="105" t="s">
        <v>140</v>
      </c>
      <c r="E15" s="114">
        <f>'Income Statement Year 1 '!N24+1540</f>
        <v>2653</v>
      </c>
    </row>
    <row r="16" spans="1:6" x14ac:dyDescent="0.25">
      <c r="A16" s="108" t="s">
        <v>141</v>
      </c>
      <c r="B16" s="112">
        <f>B15*-1</f>
        <v>-750</v>
      </c>
      <c r="C16" s="112"/>
      <c r="D16" s="105" t="s">
        <v>139</v>
      </c>
      <c r="E16" s="114">
        <f>'Start Up Costs '!B28+'Start Up Costs '!B4+'Start Up Costs '!B11+'Start Up Costs '!B12+'Start Up Costs '!B13+'Start Up Costs '!B15+'Start Up Costs '!B17+'Start Up Costs '!B18+'Start Up Costs '!B19</f>
        <v>1500</v>
      </c>
    </row>
    <row r="17" spans="1:5" x14ac:dyDescent="0.25">
      <c r="A17" s="104" t="s">
        <v>126</v>
      </c>
      <c r="B17" s="105"/>
      <c r="C17" s="105"/>
      <c r="D17" s="105" t="s">
        <v>145</v>
      </c>
      <c r="E17" s="114">
        <f>B12-(E12+E15+E16)</f>
        <v>0</v>
      </c>
    </row>
    <row r="18" spans="1:5" ht="15.75" customHeight="1" x14ac:dyDescent="0.25">
      <c r="A18" s="108"/>
      <c r="B18" s="105"/>
      <c r="C18" s="105"/>
      <c r="D18" s="115" t="s">
        <v>146</v>
      </c>
      <c r="E18" s="114">
        <f>E15+E16+E17</f>
        <v>4153</v>
      </c>
    </row>
    <row r="19" spans="1:5" x14ac:dyDescent="0.25">
      <c r="A19" s="116" t="s">
        <v>127</v>
      </c>
      <c r="B19" s="29">
        <f>B12+B16+B15</f>
        <v>4553</v>
      </c>
      <c r="C19" s="117"/>
      <c r="D19" s="30" t="s">
        <v>138</v>
      </c>
      <c r="E19" s="118">
        <f>E12+E18</f>
        <v>4553</v>
      </c>
    </row>
    <row r="20" spans="1:5" ht="16.5" thickBot="1" x14ac:dyDescent="0.3">
      <c r="A20" s="119"/>
      <c r="B20" s="120"/>
      <c r="C20" s="120"/>
      <c r="D20" s="120"/>
      <c r="E20" s="121"/>
    </row>
    <row r="21" spans="1:5" x14ac:dyDescent="0.25">
      <c r="E21" s="21">
        <f>B19-E19</f>
        <v>0</v>
      </c>
    </row>
    <row r="31" spans="1:5" ht="18" x14ac:dyDescent="0.3">
      <c r="E31" s="11" t="s">
        <v>62</v>
      </c>
    </row>
    <row r="33" spans="5:5" x14ac:dyDescent="0.25">
      <c r="E33" s="4" t="s">
        <v>57</v>
      </c>
    </row>
    <row r="35" spans="5:5" x14ac:dyDescent="0.25">
      <c r="E35" s="4" t="s">
        <v>63</v>
      </c>
    </row>
    <row r="37" spans="5:5" ht="16.5" x14ac:dyDescent="0.3">
      <c r="E37" s="5" t="s">
        <v>58</v>
      </c>
    </row>
    <row r="38" spans="5:5" ht="16.5" x14ac:dyDescent="0.3">
      <c r="E38" s="5" t="s">
        <v>59</v>
      </c>
    </row>
    <row r="39" spans="5:5" ht="16.5" x14ac:dyDescent="0.3">
      <c r="E39" s="5" t="s">
        <v>60</v>
      </c>
    </row>
    <row r="40" spans="5:5" ht="16.5" x14ac:dyDescent="0.3">
      <c r="E40" s="5" t="s">
        <v>61</v>
      </c>
    </row>
    <row r="42" spans="5:5" x14ac:dyDescent="0.25">
      <c r="E42" s="5" t="s">
        <v>47</v>
      </c>
    </row>
    <row r="43" spans="5:5" x14ac:dyDescent="0.25">
      <c r="E43" s="4" t="s">
        <v>64</v>
      </c>
    </row>
    <row r="44" spans="5:5" x14ac:dyDescent="0.25">
      <c r="E44" s="4" t="s">
        <v>65</v>
      </c>
    </row>
    <row r="45" spans="5:5" x14ac:dyDescent="0.25">
      <c r="E45" s="4" t="s">
        <v>82</v>
      </c>
    </row>
    <row r="46" spans="5:5" ht="16.5" x14ac:dyDescent="0.3">
      <c r="E46" s="12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C47A-1583-4B2C-A91C-D56F4D82B905}">
  <dimension ref="A1:H46"/>
  <sheetViews>
    <sheetView zoomScale="87" zoomScaleNormal="87" workbookViewId="0">
      <selection activeCell="F17" sqref="F17"/>
    </sheetView>
  </sheetViews>
  <sheetFormatPr defaultColWidth="11" defaultRowHeight="15.75" x14ac:dyDescent="0.25"/>
  <cols>
    <col min="1" max="1" width="23" customWidth="1"/>
    <col min="3" max="3" width="6.375" customWidth="1"/>
    <col min="4" max="4" width="34.375" customWidth="1"/>
  </cols>
  <sheetData>
    <row r="1" spans="1:8" ht="16.5" thickBot="1" x14ac:dyDescent="0.3"/>
    <row r="2" spans="1:8" x14ac:dyDescent="0.25">
      <c r="A2" s="143" t="s">
        <v>128</v>
      </c>
      <c r="B2" s="144"/>
      <c r="C2" s="144"/>
      <c r="D2" s="144"/>
      <c r="E2" s="145"/>
      <c r="F2" s="1"/>
    </row>
    <row r="3" spans="1:8" x14ac:dyDescent="0.25">
      <c r="A3" s="146" t="s">
        <v>7</v>
      </c>
      <c r="B3" s="147"/>
      <c r="C3" s="147"/>
      <c r="D3" s="147"/>
      <c r="E3" s="148"/>
      <c r="F3" s="1"/>
    </row>
    <row r="4" spans="1:8" x14ac:dyDescent="0.25">
      <c r="A4" s="149" t="s">
        <v>144</v>
      </c>
      <c r="B4" s="150"/>
      <c r="C4" s="150"/>
      <c r="D4" s="150"/>
      <c r="E4" s="151"/>
      <c r="F4" s="1"/>
    </row>
    <row r="5" spans="1:8" x14ac:dyDescent="0.25">
      <c r="A5" s="104" t="s">
        <v>118</v>
      </c>
      <c r="B5" s="105"/>
      <c r="C5" s="105"/>
      <c r="D5" s="106" t="s">
        <v>130</v>
      </c>
      <c r="E5" s="107"/>
    </row>
    <row r="6" spans="1:8" x14ac:dyDescent="0.25">
      <c r="A6" s="104" t="s">
        <v>119</v>
      </c>
      <c r="B6" s="105"/>
      <c r="C6" s="105"/>
      <c r="D6" s="106" t="s">
        <v>131</v>
      </c>
      <c r="E6" s="107"/>
    </row>
    <row r="7" spans="1:8" x14ac:dyDescent="0.25">
      <c r="A7" s="108" t="s">
        <v>120</v>
      </c>
      <c r="B7" s="109">
        <f>'Cash Flow Year 2'!M33</f>
        <v>5023.5</v>
      </c>
      <c r="C7" s="109"/>
      <c r="D7" s="105" t="s">
        <v>132</v>
      </c>
      <c r="E7" s="110">
        <f>'Start Up Costs '!B30</f>
        <v>400</v>
      </c>
    </row>
    <row r="8" spans="1:8" x14ac:dyDescent="0.25">
      <c r="A8" s="108" t="s">
        <v>67</v>
      </c>
      <c r="B8" s="109"/>
      <c r="C8" s="109"/>
      <c r="D8" s="105" t="s">
        <v>133</v>
      </c>
      <c r="E8" s="110">
        <v>0</v>
      </c>
    </row>
    <row r="9" spans="1:8" x14ac:dyDescent="0.25">
      <c r="A9" s="108" t="s">
        <v>121</v>
      </c>
      <c r="B9" s="109">
        <f>'Start Up Costs '!D17+'Start Up Costs '!D18+'Start Up Costs '!D19</f>
        <v>1500</v>
      </c>
      <c r="C9" s="109"/>
      <c r="D9" s="105" t="s">
        <v>134</v>
      </c>
      <c r="E9" s="110">
        <v>0</v>
      </c>
    </row>
    <row r="10" spans="1:8" x14ac:dyDescent="0.25">
      <c r="A10" s="108" t="s">
        <v>122</v>
      </c>
      <c r="B10" s="109">
        <f>('Start Up Costs '!B5)*12</f>
        <v>300</v>
      </c>
      <c r="C10" s="109"/>
      <c r="D10" s="105" t="s">
        <v>135</v>
      </c>
      <c r="E10" s="110">
        <v>0</v>
      </c>
    </row>
    <row r="11" spans="1:8" x14ac:dyDescent="0.25">
      <c r="A11" s="108" t="s">
        <v>123</v>
      </c>
      <c r="B11" s="109">
        <v>0</v>
      </c>
      <c r="C11" s="109"/>
      <c r="D11" s="105"/>
      <c r="E11" s="107"/>
    </row>
    <row r="12" spans="1:8" x14ac:dyDescent="0.25">
      <c r="A12" s="111" t="s">
        <v>124</v>
      </c>
      <c r="B12" s="28">
        <f>B7+B8+B9+B10+B11</f>
        <v>6823.5</v>
      </c>
      <c r="C12" s="112"/>
      <c r="D12" s="27" t="s">
        <v>136</v>
      </c>
      <c r="E12" s="113">
        <f>E7+E8+E9+E10</f>
        <v>400</v>
      </c>
    </row>
    <row r="13" spans="1:8" x14ac:dyDescent="0.25">
      <c r="A13" s="108"/>
      <c r="B13" s="105"/>
      <c r="C13" s="105"/>
      <c r="D13" s="105"/>
      <c r="E13" s="107"/>
    </row>
    <row r="14" spans="1:8" x14ac:dyDescent="0.25">
      <c r="A14" s="104" t="s">
        <v>125</v>
      </c>
      <c r="B14" s="105"/>
      <c r="C14" s="105"/>
      <c r="D14" s="106" t="s">
        <v>137</v>
      </c>
      <c r="E14" s="107"/>
    </row>
    <row r="15" spans="1:8" x14ac:dyDescent="0.25">
      <c r="A15" s="108" t="s">
        <v>29</v>
      </c>
      <c r="B15" s="112">
        <v>0</v>
      </c>
      <c r="C15" s="112"/>
      <c r="D15" s="105" t="s">
        <v>140</v>
      </c>
      <c r="E15" s="114">
        <f>'Income Statement Year 2'!N22</f>
        <v>3610.5</v>
      </c>
      <c r="H15" s="21"/>
    </row>
    <row r="16" spans="1:8" x14ac:dyDescent="0.25">
      <c r="A16" s="108" t="s">
        <v>141</v>
      </c>
      <c r="B16" s="112">
        <v>0</v>
      </c>
      <c r="C16" s="112"/>
      <c r="D16" s="105" t="s">
        <v>139</v>
      </c>
      <c r="E16" s="114">
        <f>'Start Up Costs '!D17+'Start Up Costs '!D18+'Start Up Costs '!D19</f>
        <v>1500</v>
      </c>
    </row>
    <row r="17" spans="1:5" x14ac:dyDescent="0.25">
      <c r="A17" s="104" t="s">
        <v>126</v>
      </c>
      <c r="B17" s="105"/>
      <c r="C17" s="105"/>
      <c r="D17" s="105" t="s">
        <v>84</v>
      </c>
      <c r="E17" s="114">
        <f>B12-(E12+E15+E16)</f>
        <v>1313</v>
      </c>
    </row>
    <row r="18" spans="1:5" ht="15.75" customHeight="1" x14ac:dyDescent="0.25">
      <c r="A18" s="108"/>
      <c r="B18" s="105"/>
      <c r="C18" s="105"/>
      <c r="D18" s="115" t="s">
        <v>147</v>
      </c>
      <c r="E18" s="114">
        <f>E15+E16+E17</f>
        <v>6423.5</v>
      </c>
    </row>
    <row r="19" spans="1:5" x14ac:dyDescent="0.25">
      <c r="A19" s="116" t="s">
        <v>127</v>
      </c>
      <c r="B19" s="29">
        <f>B12+B16+B15</f>
        <v>6823.5</v>
      </c>
      <c r="C19" s="117"/>
      <c r="D19" s="30" t="s">
        <v>138</v>
      </c>
      <c r="E19" s="118">
        <f>E18+E12</f>
        <v>6823.5</v>
      </c>
    </row>
    <row r="20" spans="1:5" ht="16.5" thickBot="1" x14ac:dyDescent="0.3">
      <c r="A20" s="119"/>
      <c r="B20" s="120"/>
      <c r="C20" s="120"/>
      <c r="D20" s="120"/>
      <c r="E20" s="121"/>
    </row>
    <row r="21" spans="1:5" x14ac:dyDescent="0.25">
      <c r="E21" s="21">
        <f>B19-E19</f>
        <v>0</v>
      </c>
    </row>
    <row r="31" spans="1:5" ht="18" x14ac:dyDescent="0.3">
      <c r="E31" s="11" t="s">
        <v>62</v>
      </c>
    </row>
    <row r="33" spans="5:5" x14ac:dyDescent="0.25">
      <c r="E33" s="4" t="s">
        <v>57</v>
      </c>
    </row>
    <row r="35" spans="5:5" x14ac:dyDescent="0.25">
      <c r="E35" s="4" t="s">
        <v>63</v>
      </c>
    </row>
    <row r="37" spans="5:5" ht="16.5" x14ac:dyDescent="0.3">
      <c r="E37" s="5" t="s">
        <v>58</v>
      </c>
    </row>
    <row r="38" spans="5:5" ht="16.5" x14ac:dyDescent="0.3">
      <c r="E38" s="5" t="s">
        <v>59</v>
      </c>
    </row>
    <row r="39" spans="5:5" ht="16.5" x14ac:dyDescent="0.3">
      <c r="E39" s="5" t="s">
        <v>60</v>
      </c>
    </row>
    <row r="40" spans="5:5" ht="16.5" x14ac:dyDescent="0.3">
      <c r="E40" s="5" t="s">
        <v>61</v>
      </c>
    </row>
    <row r="42" spans="5:5" x14ac:dyDescent="0.25">
      <c r="E42" s="5" t="s">
        <v>47</v>
      </c>
    </row>
    <row r="43" spans="5:5" x14ac:dyDescent="0.25">
      <c r="E43" s="4" t="s">
        <v>64</v>
      </c>
    </row>
    <row r="44" spans="5:5" x14ac:dyDescent="0.25">
      <c r="E44" s="4" t="s">
        <v>65</v>
      </c>
    </row>
    <row r="45" spans="5:5" x14ac:dyDescent="0.25">
      <c r="E45" s="4" t="s">
        <v>82</v>
      </c>
    </row>
    <row r="46" spans="5:5" ht="16.5" x14ac:dyDescent="0.3">
      <c r="E46" s="12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AC7B-6579-4214-8528-E65028DBC57C}">
  <dimension ref="A1:F46"/>
  <sheetViews>
    <sheetView zoomScale="78" zoomScaleNormal="78" workbookViewId="0">
      <selection activeCell="I18" sqref="I18"/>
    </sheetView>
  </sheetViews>
  <sheetFormatPr defaultColWidth="11" defaultRowHeight="15.75" x14ac:dyDescent="0.25"/>
  <cols>
    <col min="1" max="1" width="23" customWidth="1"/>
    <col min="3" max="3" width="6.375" customWidth="1"/>
    <col min="4" max="4" width="34.375" customWidth="1"/>
  </cols>
  <sheetData>
    <row r="1" spans="1:6" ht="16.5" thickBot="1" x14ac:dyDescent="0.3"/>
    <row r="2" spans="1:6" x14ac:dyDescent="0.25">
      <c r="A2" s="143" t="s">
        <v>128</v>
      </c>
      <c r="B2" s="144"/>
      <c r="C2" s="144"/>
      <c r="D2" s="144"/>
      <c r="E2" s="145"/>
      <c r="F2" s="1"/>
    </row>
    <row r="3" spans="1:6" x14ac:dyDescent="0.25">
      <c r="A3" s="146" t="s">
        <v>148</v>
      </c>
      <c r="B3" s="147"/>
      <c r="C3" s="147"/>
      <c r="D3" s="147"/>
      <c r="E3" s="148"/>
      <c r="F3" s="1"/>
    </row>
    <row r="4" spans="1:6" x14ac:dyDescent="0.25">
      <c r="A4" s="149" t="s">
        <v>149</v>
      </c>
      <c r="B4" s="150"/>
      <c r="C4" s="150"/>
      <c r="D4" s="150"/>
      <c r="E4" s="151"/>
      <c r="F4" s="1"/>
    </row>
    <row r="5" spans="1:6" x14ac:dyDescent="0.25">
      <c r="A5" s="104" t="s">
        <v>118</v>
      </c>
      <c r="B5" s="105"/>
      <c r="C5" s="105"/>
      <c r="D5" s="106" t="s">
        <v>130</v>
      </c>
      <c r="E5" s="107"/>
    </row>
    <row r="6" spans="1:6" x14ac:dyDescent="0.25">
      <c r="A6" s="104" t="s">
        <v>119</v>
      </c>
      <c r="B6" s="105"/>
      <c r="C6" s="105"/>
      <c r="D6" s="106" t="s">
        <v>131</v>
      </c>
      <c r="E6" s="107"/>
    </row>
    <row r="7" spans="1:6" x14ac:dyDescent="0.25">
      <c r="A7" s="108" t="s">
        <v>120</v>
      </c>
      <c r="B7" s="109">
        <f>'Cash Flow Year 3'!M33</f>
        <v>12588</v>
      </c>
      <c r="C7" s="109"/>
      <c r="D7" s="105" t="s">
        <v>132</v>
      </c>
      <c r="E7" s="110">
        <f>'Start Up Costs '!B30</f>
        <v>400</v>
      </c>
    </row>
    <row r="8" spans="1:6" x14ac:dyDescent="0.25">
      <c r="A8" s="108" t="s">
        <v>67</v>
      </c>
      <c r="B8" s="109"/>
      <c r="C8" s="109"/>
      <c r="D8" s="105" t="s">
        <v>133</v>
      </c>
      <c r="E8" s="110">
        <v>0</v>
      </c>
    </row>
    <row r="9" spans="1:6" x14ac:dyDescent="0.25">
      <c r="A9" s="108" t="s">
        <v>121</v>
      </c>
      <c r="B9" s="109">
        <f>'Start Up Costs '!F17+'Start Up Costs '!F18+'Start Up Costs '!F19</f>
        <v>3000</v>
      </c>
      <c r="C9" s="109"/>
      <c r="D9" s="105" t="s">
        <v>134</v>
      </c>
      <c r="E9" s="110">
        <v>0</v>
      </c>
    </row>
    <row r="10" spans="1:6" x14ac:dyDescent="0.25">
      <c r="A10" s="108" t="s">
        <v>122</v>
      </c>
      <c r="B10" s="109">
        <f>('Start Up Costs '!B5)*12</f>
        <v>300</v>
      </c>
      <c r="C10" s="109"/>
      <c r="D10" s="105" t="s">
        <v>135</v>
      </c>
      <c r="E10" s="110">
        <v>0</v>
      </c>
    </row>
    <row r="11" spans="1:6" x14ac:dyDescent="0.25">
      <c r="A11" s="108" t="s">
        <v>123</v>
      </c>
      <c r="B11" s="109">
        <v>0</v>
      </c>
      <c r="C11" s="109"/>
      <c r="D11" s="105"/>
      <c r="E11" s="107"/>
    </row>
    <row r="12" spans="1:6" x14ac:dyDescent="0.25">
      <c r="A12" s="111" t="s">
        <v>124</v>
      </c>
      <c r="B12" s="28">
        <f>B7+B8+B9+B10+B11</f>
        <v>15888</v>
      </c>
      <c r="C12" s="112"/>
      <c r="D12" s="27" t="s">
        <v>136</v>
      </c>
      <c r="E12" s="113">
        <f>E7+E8+E9+E10</f>
        <v>400</v>
      </c>
    </row>
    <row r="13" spans="1:6" x14ac:dyDescent="0.25">
      <c r="A13" s="108"/>
      <c r="B13" s="105"/>
      <c r="C13" s="105"/>
      <c r="D13" s="105"/>
      <c r="E13" s="107"/>
    </row>
    <row r="14" spans="1:6" x14ac:dyDescent="0.25">
      <c r="A14" s="104" t="s">
        <v>125</v>
      </c>
      <c r="B14" s="105"/>
      <c r="C14" s="105"/>
      <c r="D14" s="106" t="s">
        <v>137</v>
      </c>
      <c r="E14" s="107"/>
    </row>
    <row r="15" spans="1:6" x14ac:dyDescent="0.25">
      <c r="A15" s="108" t="s">
        <v>29</v>
      </c>
      <c r="B15" s="112">
        <v>0</v>
      </c>
      <c r="C15" s="112"/>
      <c r="D15" s="105" t="s">
        <v>140</v>
      </c>
      <c r="E15" s="114">
        <f>'Income Statement Year 3'!N22</f>
        <v>7564.5</v>
      </c>
    </row>
    <row r="16" spans="1:6" x14ac:dyDescent="0.25">
      <c r="A16" s="108" t="s">
        <v>141</v>
      </c>
      <c r="B16" s="112">
        <v>0</v>
      </c>
      <c r="C16" s="112"/>
      <c r="D16" s="105" t="s">
        <v>139</v>
      </c>
      <c r="E16" s="114">
        <f>'Start Up Costs '!D17+'Start Up Costs '!D18+'Start Up Costs '!D19</f>
        <v>1500</v>
      </c>
    </row>
    <row r="17" spans="1:5" x14ac:dyDescent="0.25">
      <c r="A17" s="104" t="s">
        <v>126</v>
      </c>
      <c r="B17" s="105"/>
      <c r="C17" s="105"/>
      <c r="D17" s="105" t="s">
        <v>84</v>
      </c>
      <c r="E17" s="114">
        <f>B12-(E12+E15+E16)</f>
        <v>6423.5</v>
      </c>
    </row>
    <row r="18" spans="1:5" ht="15.75" customHeight="1" x14ac:dyDescent="0.25">
      <c r="A18" s="108"/>
      <c r="B18" s="105"/>
      <c r="C18" s="105"/>
      <c r="D18" s="115" t="s">
        <v>147</v>
      </c>
      <c r="E18" s="114">
        <f>E15+E16+E17</f>
        <v>15488</v>
      </c>
    </row>
    <row r="19" spans="1:5" x14ac:dyDescent="0.25">
      <c r="A19" s="116" t="s">
        <v>127</v>
      </c>
      <c r="B19" s="29">
        <f>B12+B16+B15</f>
        <v>15888</v>
      </c>
      <c r="C19" s="117"/>
      <c r="D19" s="30" t="s">
        <v>138</v>
      </c>
      <c r="E19" s="118">
        <f>E18+E12</f>
        <v>15888</v>
      </c>
    </row>
    <row r="20" spans="1:5" ht="16.5" thickBot="1" x14ac:dyDescent="0.3">
      <c r="A20" s="122"/>
      <c r="B20" s="123"/>
      <c r="C20" s="123"/>
      <c r="D20" s="123"/>
      <c r="E20" s="124"/>
    </row>
    <row r="21" spans="1:5" x14ac:dyDescent="0.25">
      <c r="E21" s="21">
        <f>B19-E19</f>
        <v>0</v>
      </c>
    </row>
    <row r="31" spans="1:5" ht="18" x14ac:dyDescent="0.3">
      <c r="E31" s="11" t="s">
        <v>62</v>
      </c>
    </row>
    <row r="33" spans="5:5" x14ac:dyDescent="0.25">
      <c r="E33" s="4" t="s">
        <v>57</v>
      </c>
    </row>
    <row r="35" spans="5:5" x14ac:dyDescent="0.25">
      <c r="E35" s="4" t="s">
        <v>63</v>
      </c>
    </row>
    <row r="37" spans="5:5" ht="16.5" x14ac:dyDescent="0.3">
      <c r="E37" s="5" t="s">
        <v>58</v>
      </c>
    </row>
    <row r="38" spans="5:5" ht="16.5" x14ac:dyDescent="0.3">
      <c r="E38" s="5" t="s">
        <v>59</v>
      </c>
    </row>
    <row r="39" spans="5:5" ht="16.5" x14ac:dyDescent="0.3">
      <c r="E39" s="5" t="s">
        <v>60</v>
      </c>
    </row>
    <row r="40" spans="5:5" ht="16.5" x14ac:dyDescent="0.3">
      <c r="E40" s="5" t="s">
        <v>61</v>
      </c>
    </row>
    <row r="42" spans="5:5" x14ac:dyDescent="0.25">
      <c r="E42" s="5" t="s">
        <v>47</v>
      </c>
    </row>
    <row r="43" spans="5:5" x14ac:dyDescent="0.25">
      <c r="E43" s="4" t="s">
        <v>64</v>
      </c>
    </row>
    <row r="44" spans="5:5" x14ac:dyDescent="0.25">
      <c r="E44" s="4" t="s">
        <v>65</v>
      </c>
    </row>
    <row r="45" spans="5:5" x14ac:dyDescent="0.25">
      <c r="E45" s="4" t="s">
        <v>82</v>
      </c>
    </row>
    <row r="46" spans="5:5" ht="16.5" x14ac:dyDescent="0.3">
      <c r="E46" s="12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arlenguadalupe perezarellano</cp:lastModifiedBy>
  <dcterms:created xsi:type="dcterms:W3CDTF">2022-03-19T15:50:25Z</dcterms:created>
  <dcterms:modified xsi:type="dcterms:W3CDTF">2025-03-14T04:14:59Z</dcterms:modified>
</cp:coreProperties>
</file>